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июль" sheetId="1" r:id="rId1"/>
    <sheet name="август" sheetId="2" r:id="rId2"/>
    <sheet name="сентябрь" sheetId="3" r:id="rId3"/>
    <sheet name="3 КВ 2016" sheetId="4" r:id="rId4"/>
  </sheets>
  <externalReferences>
    <externalReference r:id="rId7"/>
    <externalReference r:id="rId8"/>
    <externalReference r:id="rId9"/>
  </externalReferences>
  <definedNames>
    <definedName name="_xlnm.Print_Area" localSheetId="3">'3 КВ 2016'!$A$1:$J$76</definedName>
    <definedName name="_xlnm.Print_Area" localSheetId="1">'август'!$A$1:$J$76</definedName>
    <definedName name="_xlnm.Print_Area" localSheetId="0">'июль'!$A$1:$J$76</definedName>
    <definedName name="_xlnm.Print_Area" localSheetId="2">'сентябрь'!$A$1:$J$76</definedName>
  </definedNames>
  <calcPr fullCalcOnLoad="1"/>
</workbook>
</file>

<file path=xl/sharedStrings.xml><?xml version="1.0" encoding="utf-8"?>
<sst xmlns="http://schemas.openxmlformats.org/spreadsheetml/2006/main" count="1462" uniqueCount="175">
  <si>
    <t>Приложение № 1</t>
  </si>
  <si>
    <t>к приказу ФАС России</t>
  </si>
  <si>
    <t>от 07.04.2014 № 231/14</t>
  </si>
  <si>
    <t>Форма</t>
  </si>
  <si>
    <t>Информация о наличии (отсутствии) технической возможности доступа</t>
  </si>
  <si>
    <t>к регулируемым услугам по транспортировке газа по магистральным газопроводам АО "Сахатранснефтегаз"</t>
  </si>
  <si>
    <t>за июль 2016 года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</si>
  <si>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</si>
  <si>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</si>
  <si>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</si>
  <si>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</si>
  <si>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</si>
  <si>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</si>
  <si>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</si>
  <si>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</si>
  <si>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</si>
  <si>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Свободная мощность магистрального газопровода,
млн. куб. м</t>
  </si>
  <si>
    <t>МГ Мастах-Берге-Якутск</t>
  </si>
  <si>
    <t>-</t>
  </si>
  <si>
    <t>Газопровод-отвод к АГРС с.Люксюгун</t>
  </si>
  <si>
    <t>МГ Мастах-Берге 47 км</t>
  </si>
  <si>
    <t>АГРС с. Люксюгун</t>
  </si>
  <si>
    <t>Газопровод-отвод к АГР С с. Тыайа</t>
  </si>
  <si>
    <t>МГ Мастах-Берге 86 км</t>
  </si>
  <si>
    <t>АГРС с. Тыайа</t>
  </si>
  <si>
    <t>Газопровод-отвод к АГРС с. Чагда</t>
  </si>
  <si>
    <t>АГРС с. Чагда</t>
  </si>
  <si>
    <t>Газопровод-отвод к АГРС с. Арыктах</t>
  </si>
  <si>
    <t>АГРС с. Арыктах</t>
  </si>
  <si>
    <t>Газопровод-отвод к АГРС с. Кобяй</t>
  </si>
  <si>
    <t>МГ Мастах-Берге 132 км</t>
  </si>
  <si>
    <t>АГРС с. Кобяй</t>
  </si>
  <si>
    <t>Газопровод-отвод к ГРП с. Аргас</t>
  </si>
  <si>
    <t>МГ Мастах-Берге 184 км</t>
  </si>
  <si>
    <t>ГРП с. Аргас</t>
  </si>
  <si>
    <t>Газопровод-отвод к АГРС с.Ситте</t>
  </si>
  <si>
    <t>МГ Берге-Якутск  108 км</t>
  </si>
  <si>
    <t>АГРС с.Ситте</t>
  </si>
  <si>
    <t>МГ к с. Бердигестях</t>
  </si>
  <si>
    <t>МГ Берге-Якутск 133 км</t>
  </si>
  <si>
    <t>ГО с. Кюерелях</t>
  </si>
  <si>
    <t>Газопровод-отвод к АГРС с. Бясь-Кюель</t>
  </si>
  <si>
    <t>МГ с. Бердигестях</t>
  </si>
  <si>
    <t>АГРС с. Бясь-Кюель</t>
  </si>
  <si>
    <t>Газопровод-отвод к АГРС с. Кюерелях</t>
  </si>
  <si>
    <t>АГРС с. Кюерелях</t>
  </si>
  <si>
    <t>Газопровод-отвод к АГРС  с. Салбанцы</t>
  </si>
  <si>
    <t>МГ Берге-Якутск  181 км</t>
  </si>
  <si>
    <t>АГРС с.Салбанцы</t>
  </si>
  <si>
    <t>Газопровод-отвод к АГРС  с. Намцы</t>
  </si>
  <si>
    <t>МГ Берге-Якутск  198 км</t>
  </si>
  <si>
    <t>АГРС с.Намцы</t>
  </si>
  <si>
    <t>Газопровод-отвод к АГРС с. Искра</t>
  </si>
  <si>
    <t>ГО с. Намцы</t>
  </si>
  <si>
    <t>АГРС с.Искра</t>
  </si>
  <si>
    <t>МГ Намцы-Хатырык</t>
  </si>
  <si>
    <t>ГО с Намцы</t>
  </si>
  <si>
    <t>ГО с.Хатырык
ГО с.Бетюнцы</t>
  </si>
  <si>
    <t>Газопровод-отвод к АГРС: с. Бетюнь</t>
  </si>
  <si>
    <t>ГО Намцы-Хатырык</t>
  </si>
  <si>
    <t>АГРС с. Бетюнцы</t>
  </si>
  <si>
    <t>Газопровод-отвод к АГРС: с. Хатырык</t>
  </si>
  <si>
    <t>АГРС с. Хатырык</t>
  </si>
  <si>
    <t>Газопровод-отвод к АГРС с.Таастах</t>
  </si>
  <si>
    <t>МГ Берге-Якутск  216 км</t>
  </si>
  <si>
    <t>АГРС с. Таастах</t>
  </si>
  <si>
    <t>Газопровод-отвод к АГРС п. Маган</t>
  </si>
  <si>
    <t>МГ Берге-Якутск  283 км</t>
  </si>
  <si>
    <t>АГРС п. Маган</t>
  </si>
  <si>
    <t xml:space="preserve">Газопровод-отвод к ГРС г. Покровск </t>
  </si>
  <si>
    <t>МГ Берге-Якутск  272  км</t>
  </si>
  <si>
    <t>ГРС г. Покровск</t>
  </si>
  <si>
    <t>Газопровод-отвод к АГРС с. Октемцы</t>
  </si>
  <si>
    <t>ГО г. Покровск</t>
  </si>
  <si>
    <t>АГРС с. Октемцы</t>
  </si>
  <si>
    <t>ГО Покровск-Булгунняхтах</t>
  </si>
  <si>
    <t>ГО  с. Булгунняхтах</t>
  </si>
  <si>
    <t>Газопровод-отвод к АГРС с Булгунняхтах</t>
  </si>
  <si>
    <t>АГРС с. Булгунняхтах</t>
  </si>
  <si>
    <t>МГ Булгунняхтах-Улахан-Ан</t>
  </si>
  <si>
    <t>ГО с. Улахан-Ан</t>
  </si>
  <si>
    <t>Газопровод-отвод к АГРС с. Улахан-Ан</t>
  </si>
  <si>
    <t>АГРС с. Улахан-Ан</t>
  </si>
  <si>
    <t>Газопровод-отвод к  ГРС-2</t>
  </si>
  <si>
    <t>МГ 0км-ГРС-2-Хатассы</t>
  </si>
  <si>
    <t>ГРС-2 г.Якутск</t>
  </si>
  <si>
    <t>МГ «0» км –ГРС-2 – Хатассы</t>
  </si>
  <si>
    <t>МГ Мастах-Берге</t>
  </si>
  <si>
    <t>ГО с.Хатассы</t>
  </si>
  <si>
    <t>Газопровод-отвод к АГРС с.Хатассы</t>
  </si>
  <si>
    <t>МГ ГРС-2-Хатассы</t>
  </si>
  <si>
    <t>АГРС с. Хатассы</t>
  </si>
  <si>
    <t xml:space="preserve">Подводный переход МГ через р. Лена </t>
  </si>
  <si>
    <t>МГ Павловск-Майя</t>
  </si>
  <si>
    <t>Подводный переход через р.Лена</t>
  </si>
  <si>
    <t>ГО с. Майя</t>
  </si>
  <si>
    <t>Газопровод-отвод к АГРС с. Павловск</t>
  </si>
  <si>
    <t>АГРС с.Павловск</t>
  </si>
  <si>
    <t>Газопровод-отвод к АГРС с.Хаптагай</t>
  </si>
  <si>
    <t>АГРС с. Хаптагай</t>
  </si>
  <si>
    <t>Газопровод-отвод к АГРС п. Нижний Бестях</t>
  </si>
  <si>
    <t>АГРС п.Н. Бестях</t>
  </si>
  <si>
    <t>Газопровод-отвод к АГРС с. Майя</t>
  </si>
  <si>
    <t>АГРС с. Майя</t>
  </si>
  <si>
    <t>МГ Майя-Тюнгюлю</t>
  </si>
  <si>
    <t>Газопровод-отвод к АГРС с. Тюнгюлю</t>
  </si>
  <si>
    <t>АГРС с.Тюнгюлю</t>
  </si>
  <si>
    <t>МГ Майя-Табага-Чурапча</t>
  </si>
  <si>
    <t>ГО с. Чурапча</t>
  </si>
  <si>
    <t>Газопровод-отвод к АГРС с. Табага</t>
  </si>
  <si>
    <t>АГРС с.Табага</t>
  </si>
  <si>
    <t>МГ "УКПГ Отраднинское ГКМ - АГРС г.Ленск"</t>
  </si>
  <si>
    <t>УКПГ Отраднинское ГКМ</t>
  </si>
  <si>
    <t>АГРС г.Ленск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</si>
  <si>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</si>
  <si>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за август 2016 года</t>
  </si>
  <si>
    <t>за сентябрь 2016 года</t>
  </si>
  <si>
    <t>за 3 квартал 2016 года</t>
  </si>
  <si>
    <t>Газопровод-отвод к АГРС с. Майа</t>
  </si>
  <si>
    <t>ЛПУМГ:</t>
  </si>
  <si>
    <t>УДиТГ:</t>
  </si>
  <si>
    <t>МГ Средневилюйское ГКМ - Мастах</t>
  </si>
  <si>
    <t>Газопровод-отвод к АГРС г. Вилюйск</t>
  </si>
  <si>
    <t>МГ Средневилюйское ГКМ - Мастах 2км</t>
  </si>
  <si>
    <t>АГРС г.Вилюйск</t>
  </si>
  <si>
    <t>Газопровод-отвод к АГРС с. Экюндю</t>
  </si>
  <si>
    <t>ГО г.Вилюйск 35км</t>
  </si>
  <si>
    <t>АГРС с.Экюндю</t>
  </si>
  <si>
    <t>Газопровод-отвод к АГРС с. Чинеке</t>
  </si>
  <si>
    <t>ГО г.Вилюйск 42км</t>
  </si>
  <si>
    <t>АГРС с.Чинеке</t>
  </si>
  <si>
    <t>Газопровод-отвод к АГРС с. Тасагар</t>
  </si>
  <si>
    <t>ГО г.Вилюйск 9км</t>
  </si>
  <si>
    <t>АГРС с.Тасагар</t>
  </si>
  <si>
    <t>Газопровод-отвод к АГРС с. Хампа</t>
  </si>
  <si>
    <t>ГО с.Тасагар 6км</t>
  </si>
  <si>
    <t>АГРС с.Хампа</t>
  </si>
  <si>
    <t>Газопровод-отвод к АГРС с.Тымпы</t>
  </si>
  <si>
    <t>МГ Средневилюйское ГКМ - Мастах 35км</t>
  </si>
  <si>
    <t>АГРС с.Тымпы</t>
  </si>
  <si>
    <t>Газопровод-отвод к АГРС с. Чай (Борогонцы)</t>
  </si>
  <si>
    <t>МГ Средневилюйское ГКМ - Мастах 40км</t>
  </si>
  <si>
    <t>АГРС с.Чай</t>
  </si>
  <si>
    <t>Газопровод-отвод к АГРС с. Сайылык (Мукучи)</t>
  </si>
  <si>
    <t>МГ Средневилюйское ГКМ - Мастах 58км</t>
  </si>
  <si>
    <t>АГРС с.Сайылык</t>
  </si>
  <si>
    <t>Газопровод-отвод к АГРС с. Арылах</t>
  </si>
  <si>
    <t>МГ Средневилюйское ГКМ - Мастах 69км</t>
  </si>
  <si>
    <t>АГРС с.Арылах</t>
  </si>
  <si>
    <t>МГ Вилюйск - Верхневилюйск</t>
  </si>
  <si>
    <t>Газопровод-отвод к АГРС с. Сыдыбыл</t>
  </si>
  <si>
    <t>МГ Вилюйск - Верхневилюйск 21км</t>
  </si>
  <si>
    <t>АГРС с.Сыдыбыл</t>
  </si>
  <si>
    <t>Газопровод-отвод к АГРС с. Кюль (Харбалах)</t>
  </si>
  <si>
    <t>МГ Вилюйск - Верхневилюйск 51км</t>
  </si>
  <si>
    <t>АГРС с.Кюль</t>
  </si>
  <si>
    <t>Газопровод-отвод к АГРС с. Хомустах (Нам)</t>
  </si>
  <si>
    <t>МГ Вилюйск - Верхневилюйск 77км</t>
  </si>
  <si>
    <t>АГРС с.Хомустах</t>
  </si>
  <si>
    <t>Газопровод-отвод к АГРС с. Тамалакан (Оросу)</t>
  </si>
  <si>
    <t>МГ Вилюйск - Верхневилюйск 63км</t>
  </si>
  <si>
    <t>АГРС с.Тамалакан</t>
  </si>
  <si>
    <t>Газопровод-отвод к АГРС с. Верхневилюйск</t>
  </si>
  <si>
    <t>МГ Вилюйск - Верхневилюйск 89км</t>
  </si>
  <si>
    <t>АГРС с.Верхневилюйск</t>
  </si>
  <si>
    <t>МГ Среднетюнгское ГКМ - Тамалакан</t>
  </si>
  <si>
    <t>Газопровод-отвод к АГРС с. Кюбяинде</t>
  </si>
  <si>
    <t>ГО с.Усун 1км</t>
  </si>
  <si>
    <t>АГРС с.Кюбяинде</t>
  </si>
  <si>
    <t>Газопровод-отвод к АГРС с. Усун</t>
  </si>
  <si>
    <t>УКПГ СТГКМ</t>
  </si>
  <si>
    <t>АГРС с.Усун</t>
  </si>
  <si>
    <t>Газопровод-отвод к АГРС с. Тылгыны</t>
  </si>
  <si>
    <t>ГО с.Усун 5км</t>
  </si>
  <si>
    <t>АГРС с.Тылгыны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</si>
</sst>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vertical="top" wrapText="1"/>
      <protection/>
    </xf>
    <xf numFmtId="164" fontId="2" fillId="0" borderId="10" xfId="53" applyNumberFormat="1" applyBorder="1" applyAlignment="1">
      <alignment horizontal="center"/>
      <protection/>
    </xf>
    <xf numFmtId="164" fontId="3" fillId="0" borderId="10" xfId="53" applyNumberFormat="1" applyFont="1" applyBorder="1" applyAlignment="1">
      <alignment horizontal="center"/>
      <protection/>
    </xf>
    <xf numFmtId="164" fontId="3" fillId="33" borderId="10" xfId="53" applyNumberFormat="1" applyFont="1" applyFill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>
      <alignment/>
      <protection/>
    </xf>
    <xf numFmtId="0" fontId="3" fillId="0" borderId="12" xfId="53" applyFont="1" applyBorder="1" applyAlignment="1">
      <alignment vertical="top" wrapText="1"/>
      <protection/>
    </xf>
    <xf numFmtId="0" fontId="6" fillId="0" borderId="12" xfId="53" applyFont="1" applyBorder="1" applyAlignment="1">
      <alignment vertical="top" wrapText="1"/>
      <protection/>
    </xf>
    <xf numFmtId="0" fontId="6" fillId="0" borderId="13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 wrapText="1"/>
      <protection/>
    </xf>
    <xf numFmtId="0" fontId="6" fillId="34" borderId="12" xfId="53" applyFont="1" applyFill="1" applyBorder="1" applyAlignment="1">
      <alignment vertical="top" wrapText="1"/>
      <protection/>
    </xf>
    <xf numFmtId="0" fontId="3" fillId="0" borderId="13" xfId="53" applyFont="1" applyBorder="1" applyAlignment="1">
      <alignment vertical="top" wrapText="1"/>
      <protection/>
    </xf>
    <xf numFmtId="0" fontId="3" fillId="35" borderId="10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 horizontal="center"/>
    </xf>
    <xf numFmtId="164" fontId="45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164" fontId="7" fillId="33" borderId="10" xfId="53" applyNumberFormat="1" applyFont="1" applyFill="1" applyBorder="1" applyAlignment="1">
      <alignment horizontal="center"/>
      <protection/>
    </xf>
    <xf numFmtId="165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4" fontId="7" fillId="0" borderId="10" xfId="53" applyNumberFormat="1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>
      <alignment/>
      <protection/>
    </xf>
    <xf numFmtId="164" fontId="2" fillId="0" borderId="10" xfId="53" applyNumberFormat="1" applyFill="1" applyBorder="1" applyAlignment="1">
      <alignment horizontal="center"/>
      <protection/>
    </xf>
    <xf numFmtId="164" fontId="3" fillId="0" borderId="10" xfId="53" applyNumberFormat="1" applyFont="1" applyFill="1" applyBorder="1" applyAlignment="1">
      <alignment horizontal="center"/>
      <protection/>
    </xf>
    <xf numFmtId="164" fontId="7" fillId="0" borderId="10" xfId="53" applyNumberFormat="1" applyFont="1" applyFill="1" applyBorder="1" applyAlignment="1">
      <alignment horizontal="center"/>
      <protection/>
    </xf>
    <xf numFmtId="0" fontId="3" fillId="0" borderId="15" xfId="53" applyFont="1" applyBorder="1" applyAlignment="1">
      <alignment horizontal="left" vertic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Alignment="1">
      <alignment horizontal="center"/>
      <protection/>
    </xf>
    <xf numFmtId="0" fontId="3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NP\Documents\&#1079;&#1072;&#1087;&#1088;&#1086;&#1089;%20&#1075;&#1072;&#1079;&#1087;&#1088;&#1086;&#1084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NR\Documents\&#1079;&#1072;&#1087;&#1088;&#1086;&#1089;%20&#1075;&#1072;&#1079;&#1087;&#1088;&#1086;&#1084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vv\Desktop\&#1044;&#1086;&#1082;&#1091;&#1084;&#1077;&#1085;&#1090;&#1099;\&#1087;&#1086;%20&#1087;&#1088;&#1080;&#1082;&#1072;&#1079;&#1091;%20&#1060;&#1040;&#1057;\2016%20&#1075;&#1086;&#1076;\&#1051;&#1055;&#1059;&#1052;&#1043;\&#1055;&#1088;&#1080;&#1083;&#1086;&#1078;&#1077;&#1085;&#1080;&#1077;%20&#8470;1%20&#1079;&#1072;%203%20&#1082;&#1074;&#1072;&#1088;&#1090;&#1072;&#1083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8"/>
      <sheetName val="форма 9"/>
      <sheetName val="форма 10"/>
      <sheetName val="форма 13"/>
    </sheetNames>
    <sheetDataSet>
      <sheetData sheetId="3">
        <row r="6">
          <cell r="F6">
            <v>0.00438</v>
          </cell>
        </row>
        <row r="9">
          <cell r="F9">
            <v>0.00365</v>
          </cell>
        </row>
        <row r="12">
          <cell r="F12">
            <v>0.015695</v>
          </cell>
        </row>
        <row r="16">
          <cell r="F16">
            <v>0.05</v>
          </cell>
        </row>
        <row r="17">
          <cell r="F17">
            <v>0.205</v>
          </cell>
        </row>
        <row r="20">
          <cell r="F20">
            <v>0.00876</v>
          </cell>
        </row>
        <row r="21">
          <cell r="F21">
            <v>0.02</v>
          </cell>
        </row>
        <row r="23">
          <cell r="F23">
            <v>0.002</v>
          </cell>
        </row>
        <row r="24">
          <cell r="F24">
            <v>0.098</v>
          </cell>
        </row>
        <row r="26">
          <cell r="F26">
            <v>1.0512</v>
          </cell>
        </row>
        <row r="28">
          <cell r="F28">
            <v>0.15</v>
          </cell>
        </row>
        <row r="29">
          <cell r="F29">
            <v>0.17</v>
          </cell>
        </row>
        <row r="31">
          <cell r="F31">
            <v>0.1775</v>
          </cell>
        </row>
        <row r="32">
          <cell r="F32">
            <v>0.008</v>
          </cell>
        </row>
        <row r="33">
          <cell r="F33">
            <v>0.16425</v>
          </cell>
        </row>
        <row r="34">
          <cell r="F34">
            <v>0.008</v>
          </cell>
        </row>
        <row r="35">
          <cell r="F35">
            <v>0.1159</v>
          </cell>
        </row>
        <row r="36">
          <cell r="F36">
            <v>0.00875</v>
          </cell>
        </row>
        <row r="37">
          <cell r="F37">
            <v>0.01752</v>
          </cell>
        </row>
        <row r="38">
          <cell r="F38">
            <v>0.528</v>
          </cell>
        </row>
        <row r="39">
          <cell r="F39">
            <v>0.0876</v>
          </cell>
        </row>
        <row r="40">
          <cell r="F40">
            <v>0.528</v>
          </cell>
        </row>
        <row r="41">
          <cell r="F41">
            <v>0.528</v>
          </cell>
        </row>
        <row r="42">
          <cell r="F42">
            <v>0.0438</v>
          </cell>
        </row>
        <row r="43">
          <cell r="F43">
            <v>0.5</v>
          </cell>
        </row>
        <row r="44">
          <cell r="F44">
            <v>0.01752</v>
          </cell>
        </row>
        <row r="45">
          <cell r="F45">
            <v>0.0438</v>
          </cell>
        </row>
        <row r="46">
          <cell r="F46">
            <v>0.0876</v>
          </cell>
        </row>
        <row r="47">
          <cell r="F47">
            <v>0.42760000000000004</v>
          </cell>
        </row>
        <row r="49">
          <cell r="F49">
            <v>0.01752</v>
          </cell>
        </row>
        <row r="50">
          <cell r="F50">
            <v>0.118</v>
          </cell>
        </row>
        <row r="51">
          <cell r="F51">
            <v>0.019344999999999998</v>
          </cell>
        </row>
        <row r="52">
          <cell r="F5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8"/>
      <sheetName val="форма 9"/>
      <sheetName val="форма 10"/>
      <sheetName val="форма 13"/>
    </sheetNames>
    <sheetDataSet>
      <sheetData sheetId="3">
        <row r="7">
          <cell r="F7">
            <v>0.006</v>
          </cell>
        </row>
        <row r="8">
          <cell r="F8">
            <v>0.01095</v>
          </cell>
        </row>
        <row r="18">
          <cell r="F18">
            <v>0.02</v>
          </cell>
        </row>
        <row r="19">
          <cell r="F19">
            <v>0.005</v>
          </cell>
        </row>
        <row r="25">
          <cell r="F25">
            <v>0.006</v>
          </cell>
        </row>
        <row r="30">
          <cell r="F30">
            <v>0.01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ноябрь"/>
      <sheetName val="декабрь"/>
      <sheetName val="4 кв 2015  "/>
      <sheetName val="2015"/>
      <sheetName val="январь"/>
      <sheetName val="февраль"/>
      <sheetName val="март"/>
      <sheetName val="1 КВ 2016"/>
      <sheetName val="апрель"/>
      <sheetName val="май"/>
      <sheetName val="июнь"/>
      <sheetName val="2 КВ 2016"/>
      <sheetName val="июль"/>
      <sheetName val="август"/>
      <sheetName val="сентябрь"/>
      <sheetName val="3 КВ 2016"/>
    </sheetNames>
    <sheetDataSet>
      <sheetData sheetId="13">
        <row r="13">
          <cell r="J13">
            <v>400.68844733333333</v>
          </cell>
        </row>
        <row r="14">
          <cell r="J14">
            <v>0.352928</v>
          </cell>
        </row>
        <row r="15">
          <cell r="J15">
            <v>0.8922289999999999</v>
          </cell>
        </row>
        <row r="16">
          <cell r="J16">
            <v>0.884516</v>
          </cell>
        </row>
        <row r="17">
          <cell r="J17">
            <v>0.2925986666666667</v>
          </cell>
        </row>
        <row r="18">
          <cell r="J18">
            <v>0.382081</v>
          </cell>
        </row>
        <row r="19">
          <cell r="J19">
            <v>0</v>
          </cell>
        </row>
        <row r="20">
          <cell r="J20">
            <v>1.2882546666666665</v>
          </cell>
        </row>
        <row r="21">
          <cell r="J21">
            <v>9.642309333333333</v>
          </cell>
        </row>
        <row r="22">
          <cell r="J22">
            <v>0.7198926666666667</v>
          </cell>
        </row>
        <row r="23">
          <cell r="J23">
            <v>1.4532500000000002</v>
          </cell>
        </row>
        <row r="24">
          <cell r="J24">
            <v>4.163116666666667</v>
          </cell>
        </row>
        <row r="25">
          <cell r="J25">
            <v>16.82588033333333</v>
          </cell>
        </row>
        <row r="26">
          <cell r="J26">
            <v>0.16551666666666665</v>
          </cell>
        </row>
        <row r="27">
          <cell r="J27">
            <v>2.0566713333333335</v>
          </cell>
        </row>
        <row r="28">
          <cell r="J28">
            <v>1.6545276666666668</v>
          </cell>
        </row>
        <row r="29">
          <cell r="J29">
            <v>0.7154770000000001</v>
          </cell>
        </row>
        <row r="30">
          <cell r="J30">
            <v>8.163866666666667</v>
          </cell>
        </row>
        <row r="31">
          <cell r="J31">
            <v>0.494639</v>
          </cell>
        </row>
        <row r="32">
          <cell r="J32">
            <v>19.982041666666667</v>
          </cell>
        </row>
        <row r="33">
          <cell r="J33">
            <v>0.7427573333333334</v>
          </cell>
        </row>
        <row r="34">
          <cell r="J34">
            <v>14.766056666666666</v>
          </cell>
        </row>
        <row r="35">
          <cell r="J35">
            <v>0.6410566666666666</v>
          </cell>
        </row>
        <row r="36">
          <cell r="J36">
            <v>13.67695</v>
          </cell>
        </row>
        <row r="37">
          <cell r="J37">
            <v>0.6561166666666667</v>
          </cell>
        </row>
        <row r="38">
          <cell r="J38">
            <v>87.6</v>
          </cell>
        </row>
        <row r="39">
          <cell r="J39">
            <v>43.69111100000001</v>
          </cell>
        </row>
        <row r="40">
          <cell r="J40">
            <v>7.209264</v>
          </cell>
        </row>
        <row r="41">
          <cell r="J41">
            <v>87.69786200000001</v>
          </cell>
        </row>
        <row r="42">
          <cell r="J42">
            <v>41.44851366666666</v>
          </cell>
        </row>
        <row r="43">
          <cell r="J43">
            <v>3.620262</v>
          </cell>
        </row>
        <row r="44">
          <cell r="J44">
            <v>1.4439840000000002</v>
          </cell>
        </row>
        <row r="45">
          <cell r="J45">
            <v>3.61226</v>
          </cell>
        </row>
        <row r="46">
          <cell r="J46">
            <v>7.1860919999999995</v>
          </cell>
        </row>
        <row r="47">
          <cell r="J47">
            <v>11.793249</v>
          </cell>
        </row>
        <row r="48">
          <cell r="J48">
            <v>1.6053323333333334</v>
          </cell>
        </row>
        <row r="49">
          <cell r="J49">
            <v>35.61933333333333</v>
          </cell>
        </row>
        <row r="50">
          <cell r="J50">
            <v>1.4460000000000002</v>
          </cell>
        </row>
        <row r="51">
          <cell r="J51">
            <v>12.015554999999999</v>
          </cell>
        </row>
      </sheetData>
      <sheetData sheetId="14">
        <row r="13">
          <cell r="J13">
            <v>397.7669663333333</v>
          </cell>
        </row>
        <row r="14">
          <cell r="J14">
            <v>0.34750300000000006</v>
          </cell>
        </row>
        <row r="15">
          <cell r="J15">
            <v>0.877331</v>
          </cell>
        </row>
        <row r="16">
          <cell r="J16">
            <v>0.873548</v>
          </cell>
        </row>
        <row r="17">
          <cell r="J17">
            <v>0.28679166666666667</v>
          </cell>
        </row>
        <row r="18">
          <cell r="J18">
            <v>0.29828200000000005</v>
          </cell>
        </row>
        <row r="19">
          <cell r="J19">
            <v>0</v>
          </cell>
        </row>
        <row r="20">
          <cell r="J20">
            <v>1.2778616666666667</v>
          </cell>
        </row>
        <row r="21">
          <cell r="J21">
            <v>9.622159333333332</v>
          </cell>
        </row>
        <row r="22">
          <cell r="J22">
            <v>0.7090976666666667</v>
          </cell>
        </row>
        <row r="23">
          <cell r="J23">
            <v>1.4438950000000002</v>
          </cell>
        </row>
        <row r="24">
          <cell r="J24">
            <v>4.154757666666667</v>
          </cell>
        </row>
        <row r="25">
          <cell r="J25">
            <v>16.501787333333333</v>
          </cell>
        </row>
        <row r="26">
          <cell r="J26">
            <v>0.16322466666666666</v>
          </cell>
        </row>
        <row r="27">
          <cell r="J27">
            <v>2.0088163333333333</v>
          </cell>
        </row>
        <row r="28">
          <cell r="J28">
            <v>1.6302096666666668</v>
          </cell>
        </row>
        <row r="29">
          <cell r="J29">
            <v>0.6919400000000001</v>
          </cell>
        </row>
        <row r="30">
          <cell r="J30">
            <v>8.161224666666667</v>
          </cell>
        </row>
        <row r="31">
          <cell r="J31">
            <v>0.472406</v>
          </cell>
        </row>
        <row r="32">
          <cell r="J32">
            <v>26.505968666666668</v>
          </cell>
        </row>
        <row r="33">
          <cell r="J33">
            <v>0.6726353333333334</v>
          </cell>
        </row>
        <row r="34">
          <cell r="J34">
            <v>14.744489666666666</v>
          </cell>
        </row>
        <row r="35">
          <cell r="J35">
            <v>0.6194896666666666</v>
          </cell>
        </row>
        <row r="36">
          <cell r="J36">
            <v>13.661496</v>
          </cell>
        </row>
        <row r="37">
          <cell r="J37">
            <v>0.6561166666666667</v>
          </cell>
        </row>
        <row r="38">
          <cell r="J38">
            <v>87.6</v>
          </cell>
        </row>
        <row r="39">
          <cell r="J39">
            <v>43.316801000000005</v>
          </cell>
        </row>
        <row r="40">
          <cell r="J40">
            <v>7.1021589999999994</v>
          </cell>
        </row>
        <row r="41">
          <cell r="J41">
            <v>87.34169100000001</v>
          </cell>
        </row>
        <row r="42">
          <cell r="J42">
            <v>41.181308666666666</v>
          </cell>
        </row>
        <row r="43">
          <cell r="J43">
            <v>3.582398</v>
          </cell>
        </row>
        <row r="44">
          <cell r="J44">
            <v>1.4268920000000003</v>
          </cell>
        </row>
        <row r="45">
          <cell r="J45">
            <v>3.571452</v>
          </cell>
        </row>
        <row r="46">
          <cell r="J46">
            <v>7.055668</v>
          </cell>
        </row>
        <row r="47">
          <cell r="J47">
            <v>11.77511</v>
          </cell>
        </row>
        <row r="48">
          <cell r="J48">
            <v>1.5871933333333332</v>
          </cell>
        </row>
        <row r="49">
          <cell r="J49">
            <v>35.59645533333333</v>
          </cell>
        </row>
        <row r="50">
          <cell r="J50">
            <v>1.4231220000000002</v>
          </cell>
        </row>
        <row r="51">
          <cell r="J51">
            <v>12.006821999999998</v>
          </cell>
        </row>
      </sheetData>
      <sheetData sheetId="15">
        <row r="13">
          <cell r="J13">
            <v>374.92556833333333</v>
          </cell>
        </row>
        <row r="14">
          <cell r="J14">
            <v>0.337168</v>
          </cell>
        </row>
        <row r="15">
          <cell r="J15">
            <v>0.848299</v>
          </cell>
        </row>
        <row r="16">
          <cell r="J16">
            <v>0.843085</v>
          </cell>
        </row>
        <row r="17">
          <cell r="J17">
            <v>0.2682436666666667</v>
          </cell>
        </row>
        <row r="18">
          <cell r="J18">
            <v>0.181037</v>
          </cell>
        </row>
        <row r="19">
          <cell r="J19">
            <v>0</v>
          </cell>
        </row>
        <row r="20">
          <cell r="J20">
            <v>1.2617676666666666</v>
          </cell>
        </row>
        <row r="21">
          <cell r="J21">
            <v>9.560946333333334</v>
          </cell>
        </row>
        <row r="22">
          <cell r="J22">
            <v>0.6770826666666667</v>
          </cell>
        </row>
        <row r="23">
          <cell r="J23">
            <v>1.414697</v>
          </cell>
        </row>
        <row r="24">
          <cell r="J24">
            <v>4.136063666666667</v>
          </cell>
        </row>
        <row r="25">
          <cell r="J25">
            <v>15.600135333333332</v>
          </cell>
        </row>
        <row r="26">
          <cell r="J26">
            <v>0.15271466666666667</v>
          </cell>
        </row>
        <row r="27">
          <cell r="J27">
            <v>1.9012893333333336</v>
          </cell>
        </row>
        <row r="28">
          <cell r="J28">
            <v>1.5785796666666667</v>
          </cell>
        </row>
        <row r="29">
          <cell r="J29">
            <v>0.6360430000000001</v>
          </cell>
        </row>
        <row r="30">
          <cell r="J30">
            <v>8.147577666666669</v>
          </cell>
        </row>
        <row r="31">
          <cell r="J31">
            <v>0.319797</v>
          </cell>
        </row>
        <row r="32">
          <cell r="J32">
            <v>18.610414666666667</v>
          </cell>
        </row>
        <row r="33">
          <cell r="J33">
            <v>0.44367533333333337</v>
          </cell>
        </row>
        <row r="34">
          <cell r="J34">
            <v>14.681833666666666</v>
          </cell>
        </row>
        <row r="35">
          <cell r="J35">
            <v>0.5568336666666667</v>
          </cell>
        </row>
        <row r="36">
          <cell r="J36">
            <v>13.617664</v>
          </cell>
        </row>
        <row r="37">
          <cell r="J37">
            <v>0.5968306666666666</v>
          </cell>
        </row>
        <row r="38">
          <cell r="J38">
            <v>87.6</v>
          </cell>
        </row>
        <row r="39">
          <cell r="J39">
            <v>41.524966000000006</v>
          </cell>
        </row>
        <row r="40">
          <cell r="J40">
            <v>6.570495</v>
          </cell>
        </row>
        <row r="41">
          <cell r="J41">
            <v>85.63203500000002</v>
          </cell>
        </row>
        <row r="42">
          <cell r="J42">
            <v>39.92113766666667</v>
          </cell>
        </row>
        <row r="43">
          <cell r="J43">
            <v>3.472578</v>
          </cell>
        </row>
        <row r="44">
          <cell r="J44">
            <v>1.3746890000000003</v>
          </cell>
        </row>
        <row r="45">
          <cell r="J45">
            <v>3.256954</v>
          </cell>
        </row>
        <row r="46">
          <cell r="J46">
            <v>6.408272999999999</v>
          </cell>
        </row>
        <row r="47">
          <cell r="J47">
            <v>11.692931</v>
          </cell>
        </row>
        <row r="48">
          <cell r="J48">
            <v>1.5050143333333332</v>
          </cell>
        </row>
        <row r="49">
          <cell r="J49">
            <v>35.54237933333333</v>
          </cell>
        </row>
        <row r="50">
          <cell r="J50">
            <v>1.3690460000000002</v>
          </cell>
        </row>
        <row r="51">
          <cell r="J51">
            <v>10.724372999999998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5.8515625" style="3" customWidth="1"/>
    <col min="2" max="2" width="41.8515625" style="3" customWidth="1"/>
    <col min="3" max="3" width="36.28125" style="3" customWidth="1"/>
    <col min="4" max="4" width="34.00390625" style="3" customWidth="1"/>
    <col min="5" max="5" width="17.421875" style="3" customWidth="1"/>
    <col min="6" max="6" width="16.57421875" style="3" customWidth="1"/>
    <col min="7" max="7" width="17.140625" style="3" customWidth="1"/>
    <col min="8" max="8" width="15.00390625" style="3" customWidth="1"/>
    <col min="9" max="9" width="19.421875" style="3" customWidth="1"/>
    <col min="10" max="10" width="16.851562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3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6.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10" ht="16.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7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12.75">
      <c r="A13" s="22"/>
      <c r="B13" s="23" t="s">
        <v>119</v>
      </c>
      <c r="C13" s="22"/>
      <c r="D13" s="22"/>
      <c r="E13" s="22"/>
      <c r="F13" s="22"/>
      <c r="G13" s="22"/>
      <c r="H13" s="22"/>
      <c r="I13" s="22"/>
      <c r="J13" s="22"/>
    </row>
    <row r="14" spans="1:10" ht="15">
      <c r="A14" s="7">
        <v>1</v>
      </c>
      <c r="B14" s="8" t="s">
        <v>17</v>
      </c>
      <c r="C14" s="7"/>
      <c r="D14" s="7"/>
      <c r="E14" s="9">
        <v>1284.67</v>
      </c>
      <c r="F14" s="9">
        <v>1284.67</v>
      </c>
      <c r="G14" s="10" t="s">
        <v>18</v>
      </c>
      <c r="H14" s="10" t="s">
        <v>18</v>
      </c>
      <c r="I14" s="11" t="s">
        <v>18</v>
      </c>
      <c r="J14" s="33">
        <f>SUM(920+710+1200+960+510+1200)/12-57644.886/1000</f>
        <v>400.68844733333333</v>
      </c>
    </row>
    <row r="15" spans="1:10" ht="15">
      <c r="A15" s="12">
        <v>2</v>
      </c>
      <c r="B15" s="8" t="s">
        <v>19</v>
      </c>
      <c r="C15" s="13" t="s">
        <v>20</v>
      </c>
      <c r="D15" s="13" t="s">
        <v>21</v>
      </c>
      <c r="E15" s="9">
        <v>1284.67</v>
      </c>
      <c r="F15" s="9">
        <v>1284.67</v>
      </c>
      <c r="G15" s="10" t="s">
        <v>18</v>
      </c>
      <c r="H15" s="10" t="s">
        <v>18</v>
      </c>
      <c r="I15" s="11" t="s">
        <v>18</v>
      </c>
      <c r="J15" s="33">
        <f>'[1]форма 13'!$F$6/12*1000-12.072/1000</f>
        <v>0.352928</v>
      </c>
    </row>
    <row r="16" spans="1:10" ht="15">
      <c r="A16" s="12">
        <v>3</v>
      </c>
      <c r="B16" s="8" t="s">
        <v>22</v>
      </c>
      <c r="C16" s="13" t="s">
        <v>23</v>
      </c>
      <c r="D16" s="13" t="s">
        <v>24</v>
      </c>
      <c r="E16" s="9">
        <v>1284.67</v>
      </c>
      <c r="F16" s="9">
        <v>1284.67</v>
      </c>
      <c r="G16" s="10" t="s">
        <v>18</v>
      </c>
      <c r="H16" s="10" t="s">
        <v>18</v>
      </c>
      <c r="I16" s="11" t="s">
        <v>18</v>
      </c>
      <c r="J16" s="33">
        <f>'[2]форма 13'!$F$8/12*1000-20.271/1000</f>
        <v>0.8922289999999999</v>
      </c>
    </row>
    <row r="17" spans="1:10" ht="15">
      <c r="A17" s="12">
        <v>4</v>
      </c>
      <c r="B17" s="8" t="s">
        <v>25</v>
      </c>
      <c r="C17" s="13" t="s">
        <v>23</v>
      </c>
      <c r="D17" s="13" t="s">
        <v>26</v>
      </c>
      <c r="E17" s="9">
        <v>1284.67</v>
      </c>
      <c r="F17" s="9">
        <v>1284.67</v>
      </c>
      <c r="G17" s="10" t="s">
        <v>18</v>
      </c>
      <c r="H17" s="10" t="s">
        <v>18</v>
      </c>
      <c r="I17" s="11" t="s">
        <v>18</v>
      </c>
      <c r="J17" s="33">
        <f>'[2]форма 13'!$F$8/12*1000-27.984/1000</f>
        <v>0.884516</v>
      </c>
    </row>
    <row r="18" spans="1:10" ht="15">
      <c r="A18" s="7">
        <v>5</v>
      </c>
      <c r="B18" s="8" t="s">
        <v>27</v>
      </c>
      <c r="C18" s="13" t="s">
        <v>23</v>
      </c>
      <c r="D18" s="13" t="s">
        <v>28</v>
      </c>
      <c r="E18" s="9">
        <v>1284.67</v>
      </c>
      <c r="F18" s="9">
        <v>1284.67</v>
      </c>
      <c r="G18" s="10" t="s">
        <v>18</v>
      </c>
      <c r="H18" s="10" t="s">
        <v>18</v>
      </c>
      <c r="I18" s="11" t="s">
        <v>18</v>
      </c>
      <c r="J18" s="33">
        <f>'[1]форма 13'!$F$9/12*1000-11.568/1000</f>
        <v>0.2925986666666667</v>
      </c>
    </row>
    <row r="19" spans="1:10" ht="15">
      <c r="A19" s="12">
        <v>6</v>
      </c>
      <c r="B19" s="8" t="s">
        <v>29</v>
      </c>
      <c r="C19" s="13" t="s">
        <v>30</v>
      </c>
      <c r="D19" s="13" t="s">
        <v>31</v>
      </c>
      <c r="E19" s="9">
        <v>1284.67</v>
      </c>
      <c r="F19" s="9">
        <v>1284.67</v>
      </c>
      <c r="G19" s="10" t="s">
        <v>18</v>
      </c>
      <c r="H19" s="10" t="s">
        <v>18</v>
      </c>
      <c r="I19" s="11" t="s">
        <v>18</v>
      </c>
      <c r="J19" s="33">
        <f>'[2]форма 13'!$F$7/12*1000-117.919/1000</f>
        <v>0.382081</v>
      </c>
    </row>
    <row r="20" spans="1:10" ht="15">
      <c r="A20" s="12">
        <v>7</v>
      </c>
      <c r="B20" s="8" t="s">
        <v>32</v>
      </c>
      <c r="C20" s="13" t="s">
        <v>33</v>
      </c>
      <c r="D20" s="13" t="s">
        <v>34</v>
      </c>
      <c r="E20" s="9">
        <v>1284.67</v>
      </c>
      <c r="F20" s="9">
        <v>1284.67</v>
      </c>
      <c r="G20" s="10" t="s">
        <v>18</v>
      </c>
      <c r="H20" s="10" t="s">
        <v>18</v>
      </c>
      <c r="I20" s="11" t="s">
        <v>18</v>
      </c>
      <c r="J20" s="33">
        <v>0</v>
      </c>
    </row>
    <row r="21" spans="1:10" ht="15">
      <c r="A21" s="12">
        <v>8</v>
      </c>
      <c r="B21" s="14" t="s">
        <v>35</v>
      </c>
      <c r="C21" s="13" t="s">
        <v>36</v>
      </c>
      <c r="D21" s="13" t="s">
        <v>37</v>
      </c>
      <c r="E21" s="9">
        <v>1284.67</v>
      </c>
      <c r="F21" s="9">
        <v>1284.67</v>
      </c>
      <c r="G21" s="10" t="s">
        <v>18</v>
      </c>
      <c r="H21" s="10" t="s">
        <v>18</v>
      </c>
      <c r="I21" s="11" t="s">
        <v>18</v>
      </c>
      <c r="J21" s="33">
        <f>'[1]форма 13'!$F$12/12*1000-19.662/1000</f>
        <v>1.2882546666666665</v>
      </c>
    </row>
    <row r="22" spans="1:10" ht="15">
      <c r="A22" s="7">
        <v>9</v>
      </c>
      <c r="B22" s="15" t="s">
        <v>38</v>
      </c>
      <c r="C22" s="13" t="s">
        <v>39</v>
      </c>
      <c r="D22" s="13" t="s">
        <v>40</v>
      </c>
      <c r="E22" s="9">
        <v>1284.67</v>
      </c>
      <c r="F22" s="9">
        <v>1284.67</v>
      </c>
      <c r="G22" s="10" t="s">
        <v>18</v>
      </c>
      <c r="H22" s="10" t="s">
        <v>18</v>
      </c>
      <c r="I22" s="11" t="s">
        <v>18</v>
      </c>
      <c r="J22" s="33">
        <f>'[1]форма 13'!$F$35/12*1000-(9.274+6.75)/1000</f>
        <v>9.642309333333333</v>
      </c>
    </row>
    <row r="23" spans="1:10" ht="15">
      <c r="A23" s="12">
        <v>10</v>
      </c>
      <c r="B23" s="14" t="s">
        <v>41</v>
      </c>
      <c r="C23" s="13" t="s">
        <v>42</v>
      </c>
      <c r="D23" s="13" t="s">
        <v>43</v>
      </c>
      <c r="E23" s="9">
        <v>1284.67</v>
      </c>
      <c r="F23" s="9">
        <v>1284.67</v>
      </c>
      <c r="G23" s="10" t="s">
        <v>18</v>
      </c>
      <c r="H23" s="10" t="s">
        <v>18</v>
      </c>
      <c r="I23" s="11" t="s">
        <v>18</v>
      </c>
      <c r="J23" s="33">
        <f>'[1]форма 13'!$F$36/12*1000-9.274/1000</f>
        <v>0.7198926666666667</v>
      </c>
    </row>
    <row r="24" spans="1:10" ht="15">
      <c r="A24" s="12">
        <v>11</v>
      </c>
      <c r="B24" s="14" t="s">
        <v>44</v>
      </c>
      <c r="C24" s="13" t="s">
        <v>42</v>
      </c>
      <c r="D24" s="13" t="s">
        <v>45</v>
      </c>
      <c r="E24" s="9">
        <v>1284.67</v>
      </c>
      <c r="F24" s="9">
        <v>1284.67</v>
      </c>
      <c r="G24" s="10" t="s">
        <v>18</v>
      </c>
      <c r="H24" s="10" t="s">
        <v>18</v>
      </c>
      <c r="I24" s="11" t="s">
        <v>18</v>
      </c>
      <c r="J24" s="33">
        <f>'[1]форма 13'!$F$37/12*1000-6.75/1000</f>
        <v>1.4532500000000002</v>
      </c>
    </row>
    <row r="25" spans="1:10" ht="15">
      <c r="A25" s="12">
        <v>12</v>
      </c>
      <c r="B25" s="8" t="s">
        <v>46</v>
      </c>
      <c r="C25" s="13" t="s">
        <v>47</v>
      </c>
      <c r="D25" s="13" t="s">
        <v>48</v>
      </c>
      <c r="E25" s="9">
        <v>1284.67</v>
      </c>
      <c r="F25" s="9">
        <v>1284.67</v>
      </c>
      <c r="G25" s="10" t="s">
        <v>18</v>
      </c>
      <c r="H25" s="10" t="s">
        <v>18</v>
      </c>
      <c r="I25" s="11" t="s">
        <v>18</v>
      </c>
      <c r="J25" s="33">
        <f>'[1]форма 13'!$F$16/12*1000-3.55/1000</f>
        <v>4.163116666666667</v>
      </c>
    </row>
    <row r="26" spans="1:10" ht="15">
      <c r="A26" s="7">
        <v>13</v>
      </c>
      <c r="B26" s="8" t="s">
        <v>49</v>
      </c>
      <c r="C26" s="13" t="s">
        <v>50</v>
      </c>
      <c r="D26" s="13" t="s">
        <v>51</v>
      </c>
      <c r="E26" s="9">
        <v>1284.67</v>
      </c>
      <c r="F26" s="9">
        <v>1284.67</v>
      </c>
      <c r="G26" s="10" t="s">
        <v>18</v>
      </c>
      <c r="H26" s="10" t="s">
        <v>18</v>
      </c>
      <c r="I26" s="11" t="s">
        <v>18</v>
      </c>
      <c r="J26" s="33">
        <f>'[1]форма 13'!$F$17/12*1000-257.453/1000</f>
        <v>16.82588033333333</v>
      </c>
    </row>
    <row r="27" spans="1:10" ht="15">
      <c r="A27" s="12">
        <v>14</v>
      </c>
      <c r="B27" s="8" t="s">
        <v>52</v>
      </c>
      <c r="C27" s="13" t="s">
        <v>53</v>
      </c>
      <c r="D27" s="13" t="s">
        <v>54</v>
      </c>
      <c r="E27" s="9">
        <v>1284.67</v>
      </c>
      <c r="F27" s="9">
        <v>1284.67</v>
      </c>
      <c r="G27" s="10" t="s">
        <v>18</v>
      </c>
      <c r="H27" s="10" t="s">
        <v>18</v>
      </c>
      <c r="I27" s="11" t="s">
        <v>18</v>
      </c>
      <c r="J27" s="33">
        <f>'[1]форма 13'!$F$23/12*1000-1.15/1000</f>
        <v>0.16551666666666665</v>
      </c>
    </row>
    <row r="28" spans="1:10" ht="15">
      <c r="A28" s="12">
        <v>15</v>
      </c>
      <c r="B28" s="16" t="s">
        <v>55</v>
      </c>
      <c r="C28" s="13" t="s">
        <v>56</v>
      </c>
      <c r="D28" s="13" t="s">
        <v>57</v>
      </c>
      <c r="E28" s="9">
        <v>1284.67</v>
      </c>
      <c r="F28" s="9">
        <v>1284.67</v>
      </c>
      <c r="G28" s="10" t="s">
        <v>18</v>
      </c>
      <c r="H28" s="10" t="s">
        <v>18</v>
      </c>
      <c r="I28" s="11" t="s">
        <v>18</v>
      </c>
      <c r="J28" s="33">
        <f>('[2]форма 13'!$F$18+'[2]форма 13'!$F$19)/12*1000-(12.139+14.523)/1000</f>
        <v>2.0566713333333335</v>
      </c>
    </row>
    <row r="29" spans="1:10" ht="15">
      <c r="A29" s="12">
        <v>16</v>
      </c>
      <c r="B29" s="17" t="s">
        <v>58</v>
      </c>
      <c r="C29" s="13" t="s">
        <v>59</v>
      </c>
      <c r="D29" s="13" t="s">
        <v>60</v>
      </c>
      <c r="E29" s="9">
        <v>1284.67</v>
      </c>
      <c r="F29" s="9">
        <v>1284.67</v>
      </c>
      <c r="G29" s="10" t="s">
        <v>18</v>
      </c>
      <c r="H29" s="10" t="s">
        <v>18</v>
      </c>
      <c r="I29" s="11" t="s">
        <v>18</v>
      </c>
      <c r="J29" s="33">
        <f>'[1]форма 13'!$F$21/12*1000-12.139/1000</f>
        <v>1.6545276666666668</v>
      </c>
    </row>
    <row r="30" spans="1:10" ht="15">
      <c r="A30" s="7">
        <v>17</v>
      </c>
      <c r="B30" s="17" t="s">
        <v>61</v>
      </c>
      <c r="C30" s="13" t="s">
        <v>59</v>
      </c>
      <c r="D30" s="13" t="s">
        <v>62</v>
      </c>
      <c r="E30" s="9">
        <v>1284.67</v>
      </c>
      <c r="F30" s="9">
        <v>1284.67</v>
      </c>
      <c r="G30" s="10" t="s">
        <v>18</v>
      </c>
      <c r="H30" s="10" t="s">
        <v>18</v>
      </c>
      <c r="I30" s="11" t="s">
        <v>18</v>
      </c>
      <c r="J30" s="33">
        <f>'[1]форма 13'!$F$20/12*1000-14.523/1000</f>
        <v>0.7154770000000001</v>
      </c>
    </row>
    <row r="31" spans="1:10" ht="15">
      <c r="A31" s="12">
        <v>18</v>
      </c>
      <c r="B31" s="14" t="s">
        <v>63</v>
      </c>
      <c r="C31" s="13" t="s">
        <v>64</v>
      </c>
      <c r="D31" s="13" t="s">
        <v>65</v>
      </c>
      <c r="E31" s="9">
        <v>1284.67</v>
      </c>
      <c r="F31" s="9">
        <v>1284.67</v>
      </c>
      <c r="G31" s="10" t="s">
        <v>18</v>
      </c>
      <c r="H31" s="10" t="s">
        <v>18</v>
      </c>
      <c r="I31" s="11" t="s">
        <v>18</v>
      </c>
      <c r="J31" s="33">
        <f>'[1]форма 13'!$F$24/12*1000-2.8/1000</f>
        <v>8.163866666666667</v>
      </c>
    </row>
    <row r="32" spans="1:10" ht="15">
      <c r="A32" s="12">
        <v>19</v>
      </c>
      <c r="B32" s="14" t="s">
        <v>66</v>
      </c>
      <c r="C32" s="13" t="s">
        <v>67</v>
      </c>
      <c r="D32" s="13" t="s">
        <v>68</v>
      </c>
      <c r="E32" s="9">
        <v>1284.67</v>
      </c>
      <c r="F32" s="9">
        <v>1284.67</v>
      </c>
      <c r="G32" s="10" t="s">
        <v>18</v>
      </c>
      <c r="H32" s="10" t="s">
        <v>18</v>
      </c>
      <c r="I32" s="11" t="s">
        <v>18</v>
      </c>
      <c r="J32" s="33">
        <f>'[2]форма 13'!$F$25/12*1000-5.361/1000</f>
        <v>0.494639</v>
      </c>
    </row>
    <row r="33" spans="1:10" ht="15">
      <c r="A33" s="12">
        <v>20</v>
      </c>
      <c r="B33" s="15" t="s">
        <v>69</v>
      </c>
      <c r="C33" s="13" t="s">
        <v>70</v>
      </c>
      <c r="D33" s="13" t="s">
        <v>71</v>
      </c>
      <c r="E33" s="9">
        <v>1284.67</v>
      </c>
      <c r="F33" s="9">
        <v>1284.67</v>
      </c>
      <c r="G33" s="10" t="s">
        <v>18</v>
      </c>
      <c r="H33" s="10" t="s">
        <v>18</v>
      </c>
      <c r="I33" s="11" t="s">
        <v>18</v>
      </c>
      <c r="J33" s="33">
        <f>('[1]форма 13'!$F$28+'[1]форма 13'!$F$29)/12*1000-6684.625/1000</f>
        <v>19.982041666666667</v>
      </c>
    </row>
    <row r="34" spans="1:10" ht="15">
      <c r="A34" s="7">
        <v>21</v>
      </c>
      <c r="B34" s="8" t="s">
        <v>72</v>
      </c>
      <c r="C34" s="13" t="s">
        <v>73</v>
      </c>
      <c r="D34" s="13" t="s">
        <v>74</v>
      </c>
      <c r="E34" s="9">
        <v>1284.67</v>
      </c>
      <c r="F34" s="9">
        <v>1284.67</v>
      </c>
      <c r="G34" s="10" t="s">
        <v>18</v>
      </c>
      <c r="H34" s="10" t="s">
        <v>18</v>
      </c>
      <c r="I34" s="11" t="s">
        <v>18</v>
      </c>
      <c r="J34" s="33">
        <f>'[2]форма 13'!$F$30/12*1000-90.576/1000</f>
        <v>0.7427573333333334</v>
      </c>
    </row>
    <row r="35" spans="1:10" ht="15">
      <c r="A35" s="12">
        <v>22</v>
      </c>
      <c r="B35" s="15" t="s">
        <v>75</v>
      </c>
      <c r="C35" s="13" t="s">
        <v>73</v>
      </c>
      <c r="D35" s="13" t="s">
        <v>76</v>
      </c>
      <c r="E35" s="9">
        <v>1284.67</v>
      </c>
      <c r="F35" s="9">
        <v>1284.67</v>
      </c>
      <c r="G35" s="10" t="s">
        <v>18</v>
      </c>
      <c r="H35" s="10" t="s">
        <v>18</v>
      </c>
      <c r="I35" s="11" t="s">
        <v>18</v>
      </c>
      <c r="J35" s="33">
        <f>'[1]форма 13'!$F$31/12*1000-25.61/1000</f>
        <v>14.766056666666666</v>
      </c>
    </row>
    <row r="36" spans="1:10" ht="15">
      <c r="A36" s="12">
        <v>23</v>
      </c>
      <c r="B36" s="8" t="s">
        <v>77</v>
      </c>
      <c r="C36" s="13" t="s">
        <v>73</v>
      </c>
      <c r="D36" s="13" t="s">
        <v>78</v>
      </c>
      <c r="E36" s="9">
        <v>1284.67</v>
      </c>
      <c r="F36" s="9">
        <v>1284.67</v>
      </c>
      <c r="G36" s="10" t="s">
        <v>18</v>
      </c>
      <c r="H36" s="10" t="s">
        <v>18</v>
      </c>
      <c r="I36" s="11" t="s">
        <v>18</v>
      </c>
      <c r="J36" s="33">
        <f>'[1]форма 13'!$F$32/12*1000-25.61/1000</f>
        <v>0.6410566666666666</v>
      </c>
    </row>
    <row r="37" spans="1:10" ht="15">
      <c r="A37" s="12">
        <v>24</v>
      </c>
      <c r="B37" s="18" t="s">
        <v>79</v>
      </c>
      <c r="C37" s="13" t="s">
        <v>73</v>
      </c>
      <c r="D37" s="13" t="s">
        <v>80</v>
      </c>
      <c r="E37" s="9">
        <v>1284.67</v>
      </c>
      <c r="F37" s="9">
        <v>1284.67</v>
      </c>
      <c r="G37" s="10" t="s">
        <v>18</v>
      </c>
      <c r="H37" s="10" t="s">
        <v>18</v>
      </c>
      <c r="I37" s="11" t="s">
        <v>18</v>
      </c>
      <c r="J37" s="33">
        <f>'[1]форма 13'!$F$33/12*1000-10.55/1000</f>
        <v>13.67695</v>
      </c>
    </row>
    <row r="38" spans="1:10" ht="15">
      <c r="A38" s="7">
        <v>25</v>
      </c>
      <c r="B38" s="8" t="s">
        <v>81</v>
      </c>
      <c r="C38" s="13" t="s">
        <v>79</v>
      </c>
      <c r="D38" s="13" t="s">
        <v>82</v>
      </c>
      <c r="E38" s="9">
        <v>1284.67</v>
      </c>
      <c r="F38" s="9">
        <v>1284.67</v>
      </c>
      <c r="G38" s="10" t="s">
        <v>18</v>
      </c>
      <c r="H38" s="10" t="s">
        <v>18</v>
      </c>
      <c r="I38" s="11" t="s">
        <v>18</v>
      </c>
      <c r="J38" s="33">
        <f>'[1]форма 13'!$F$34/12*1000-10.55/1000</f>
        <v>0.6561166666666667</v>
      </c>
    </row>
    <row r="39" spans="1:10" ht="15">
      <c r="A39" s="12">
        <v>26</v>
      </c>
      <c r="B39" s="19" t="s">
        <v>83</v>
      </c>
      <c r="C39" s="13" t="s">
        <v>84</v>
      </c>
      <c r="D39" s="13" t="s">
        <v>85</v>
      </c>
      <c r="E39" s="9">
        <v>1284.67</v>
      </c>
      <c r="F39" s="9">
        <v>1284.67</v>
      </c>
      <c r="G39" s="10" t="s">
        <v>18</v>
      </c>
      <c r="H39" s="10" t="s">
        <v>18</v>
      </c>
      <c r="I39" s="11" t="s">
        <v>18</v>
      </c>
      <c r="J39" s="33">
        <f>'[1]форма 13'!$F$26/12*1000-0/1000</f>
        <v>87.6</v>
      </c>
    </row>
    <row r="40" spans="1:10" ht="15">
      <c r="A40" s="12">
        <v>27</v>
      </c>
      <c r="B40" s="15" t="s">
        <v>86</v>
      </c>
      <c r="C40" s="13" t="s">
        <v>87</v>
      </c>
      <c r="D40" s="13" t="s">
        <v>88</v>
      </c>
      <c r="E40" s="9">
        <v>1284.67</v>
      </c>
      <c r="F40" s="9">
        <v>1284.67</v>
      </c>
      <c r="G40" s="10" t="s">
        <v>18</v>
      </c>
      <c r="H40" s="10" t="s">
        <v>18</v>
      </c>
      <c r="I40" s="11" t="s">
        <v>18</v>
      </c>
      <c r="J40" s="33">
        <f>'[1]форма 13'!$F$38/12*1000-(90.736+29.738+37.74+16.016+113.908+14+6.751)/1000</f>
        <v>43.69111100000001</v>
      </c>
    </row>
    <row r="41" spans="1:10" ht="15">
      <c r="A41" s="12">
        <v>28</v>
      </c>
      <c r="B41" s="14" t="s">
        <v>89</v>
      </c>
      <c r="C41" s="13" t="s">
        <v>90</v>
      </c>
      <c r="D41" s="13" t="s">
        <v>91</v>
      </c>
      <c r="E41" s="9">
        <v>1284.67</v>
      </c>
      <c r="F41" s="9">
        <v>1284.67</v>
      </c>
      <c r="G41" s="10" t="s">
        <v>18</v>
      </c>
      <c r="H41" s="10" t="s">
        <v>18</v>
      </c>
      <c r="I41" s="11" t="s">
        <v>18</v>
      </c>
      <c r="J41" s="33">
        <f>'[1]форма 13'!$F$39/12*1000-90.736/1000</f>
        <v>7.209264</v>
      </c>
    </row>
    <row r="42" spans="1:10" ht="15">
      <c r="A42" s="7">
        <v>29</v>
      </c>
      <c r="B42" s="20" t="s">
        <v>92</v>
      </c>
      <c r="C42" s="13" t="s">
        <v>90</v>
      </c>
      <c r="D42" s="13" t="s">
        <v>93</v>
      </c>
      <c r="E42" s="9">
        <v>1284.67</v>
      </c>
      <c r="F42" s="9">
        <v>1284.67</v>
      </c>
      <c r="G42" s="10" t="s">
        <v>18</v>
      </c>
      <c r="H42" s="10" t="s">
        <v>18</v>
      </c>
      <c r="I42" s="11" t="s">
        <v>18</v>
      </c>
      <c r="J42" s="33">
        <f>('[1]форма 13'!$F$40+'[1]форма 13'!$F$41)/12*1000-(90.736+29.738+37.74+16.016+113.908+14)/1000</f>
        <v>87.69786200000001</v>
      </c>
    </row>
    <row r="43" spans="1:10" ht="15">
      <c r="A43" s="12">
        <v>30</v>
      </c>
      <c r="B43" s="15" t="s">
        <v>93</v>
      </c>
      <c r="C43" s="13" t="s">
        <v>94</v>
      </c>
      <c r="D43" s="13" t="s">
        <v>95</v>
      </c>
      <c r="E43" s="9">
        <v>1284.67</v>
      </c>
      <c r="F43" s="9">
        <v>1284.67</v>
      </c>
      <c r="G43" s="10" t="s">
        <v>18</v>
      </c>
      <c r="H43" s="10" t="s">
        <v>18</v>
      </c>
      <c r="I43" s="11" t="s">
        <v>18</v>
      </c>
      <c r="J43" s="33">
        <f>'[1]форма 13'!$F$43/12*1000-(29.738+37.74+16.016+113.908+14+6.751)/1000</f>
        <v>41.44851366666666</v>
      </c>
    </row>
    <row r="44" spans="1:10" ht="15">
      <c r="A44" s="12">
        <v>31</v>
      </c>
      <c r="B44" s="8" t="s">
        <v>96</v>
      </c>
      <c r="C44" s="13" t="s">
        <v>93</v>
      </c>
      <c r="D44" s="13" t="s">
        <v>97</v>
      </c>
      <c r="E44" s="9">
        <v>1284.67</v>
      </c>
      <c r="F44" s="9">
        <v>1284.67</v>
      </c>
      <c r="G44" s="10" t="s">
        <v>18</v>
      </c>
      <c r="H44" s="10" t="s">
        <v>18</v>
      </c>
      <c r="I44" s="11" t="s">
        <v>18</v>
      </c>
      <c r="J44" s="33">
        <f>'[1]форма 13'!$F$42/12*1000-29.738/1000</f>
        <v>3.620262</v>
      </c>
    </row>
    <row r="45" spans="1:10" ht="15">
      <c r="A45" s="12">
        <v>32</v>
      </c>
      <c r="B45" s="8" t="s">
        <v>98</v>
      </c>
      <c r="C45" s="13" t="s">
        <v>93</v>
      </c>
      <c r="D45" s="13" t="s">
        <v>99</v>
      </c>
      <c r="E45" s="9">
        <v>1284.67</v>
      </c>
      <c r="F45" s="9">
        <v>1284.67</v>
      </c>
      <c r="G45" s="10" t="s">
        <v>18</v>
      </c>
      <c r="H45" s="10" t="s">
        <v>18</v>
      </c>
      <c r="I45" s="11" t="s">
        <v>18</v>
      </c>
      <c r="J45" s="33">
        <f>'[1]форма 13'!$F$44/12*1000-16.016/1000</f>
        <v>1.4439840000000002</v>
      </c>
    </row>
    <row r="46" spans="1:10" ht="15">
      <c r="A46" s="7">
        <v>33</v>
      </c>
      <c r="B46" s="8" t="s">
        <v>100</v>
      </c>
      <c r="C46" s="13" t="s">
        <v>93</v>
      </c>
      <c r="D46" s="13" t="s">
        <v>101</v>
      </c>
      <c r="E46" s="9">
        <v>1284.67</v>
      </c>
      <c r="F46" s="9">
        <v>1284.67</v>
      </c>
      <c r="G46" s="10" t="s">
        <v>18</v>
      </c>
      <c r="H46" s="10" t="s">
        <v>18</v>
      </c>
      <c r="I46" s="11" t="s">
        <v>18</v>
      </c>
      <c r="J46" s="33">
        <f>'[1]форма 13'!$F$45/12*1000-37.74/1000</f>
        <v>3.61226</v>
      </c>
    </row>
    <row r="47" spans="1:10" ht="15">
      <c r="A47" s="12">
        <v>34</v>
      </c>
      <c r="B47" s="8" t="s">
        <v>102</v>
      </c>
      <c r="C47" s="13" t="s">
        <v>93</v>
      </c>
      <c r="D47" s="13" t="s">
        <v>103</v>
      </c>
      <c r="E47" s="9">
        <v>1284.67</v>
      </c>
      <c r="F47" s="9">
        <v>1284.67</v>
      </c>
      <c r="G47" s="10" t="s">
        <v>18</v>
      </c>
      <c r="H47" s="10" t="s">
        <v>18</v>
      </c>
      <c r="I47" s="11" t="s">
        <v>18</v>
      </c>
      <c r="J47" s="33">
        <f>'[1]форма 13'!$F$46/12*1000-113.908/1000</f>
        <v>7.1860919999999995</v>
      </c>
    </row>
    <row r="48" spans="1:10" ht="15">
      <c r="A48" s="12">
        <v>35</v>
      </c>
      <c r="B48" s="15" t="s">
        <v>104</v>
      </c>
      <c r="C48" s="13" t="s">
        <v>93</v>
      </c>
      <c r="D48" s="13" t="s">
        <v>105</v>
      </c>
      <c r="E48" s="9">
        <v>1284.67</v>
      </c>
      <c r="F48" s="9">
        <v>1284.67</v>
      </c>
      <c r="G48" s="10" t="s">
        <v>18</v>
      </c>
      <c r="H48" s="10" t="s">
        <v>18</v>
      </c>
      <c r="I48" s="11" t="s">
        <v>18</v>
      </c>
      <c r="J48" s="33">
        <f>'[1]форма 13'!$F$50/10*1000-6.751/1000</f>
        <v>11.793249</v>
      </c>
    </row>
    <row r="49" spans="1:10" ht="15">
      <c r="A49" s="12">
        <v>36</v>
      </c>
      <c r="B49" s="14" t="s">
        <v>105</v>
      </c>
      <c r="C49" s="13" t="s">
        <v>104</v>
      </c>
      <c r="D49" s="13" t="s">
        <v>106</v>
      </c>
      <c r="E49" s="9">
        <v>1284.67</v>
      </c>
      <c r="F49" s="9">
        <v>1284.67</v>
      </c>
      <c r="G49" s="10" t="s">
        <v>18</v>
      </c>
      <c r="H49" s="10" t="s">
        <v>18</v>
      </c>
      <c r="I49" s="11" t="s">
        <v>18</v>
      </c>
      <c r="J49" s="33">
        <f>'[1]форма 13'!$F$51/12*1000-6.751/1000</f>
        <v>1.6053323333333334</v>
      </c>
    </row>
    <row r="50" spans="1:10" ht="15">
      <c r="A50" s="7">
        <v>37</v>
      </c>
      <c r="B50" s="18" t="s">
        <v>107</v>
      </c>
      <c r="C50" s="13" t="s">
        <v>93</v>
      </c>
      <c r="D50" s="13" t="s">
        <v>108</v>
      </c>
      <c r="E50" s="9">
        <v>1284.67</v>
      </c>
      <c r="F50" s="9">
        <v>1284.67</v>
      </c>
      <c r="G50" s="10" t="s">
        <v>18</v>
      </c>
      <c r="H50" s="10" t="s">
        <v>18</v>
      </c>
      <c r="I50" s="11" t="s">
        <v>18</v>
      </c>
      <c r="J50" s="33">
        <f>'[1]форма 13'!$F$47/12*1000-14/1000</f>
        <v>35.61933333333333</v>
      </c>
    </row>
    <row r="51" spans="1:10" ht="15">
      <c r="A51" s="12">
        <v>38</v>
      </c>
      <c r="B51" s="21" t="s">
        <v>109</v>
      </c>
      <c r="C51" s="13" t="s">
        <v>107</v>
      </c>
      <c r="D51" s="13" t="s">
        <v>110</v>
      </c>
      <c r="E51" s="9">
        <v>1284.67</v>
      </c>
      <c r="F51" s="9">
        <v>1284.67</v>
      </c>
      <c r="G51" s="10" t="s">
        <v>18</v>
      </c>
      <c r="H51" s="10" t="s">
        <v>18</v>
      </c>
      <c r="I51" s="11" t="s">
        <v>18</v>
      </c>
      <c r="J51" s="33">
        <f>'[1]форма 13'!$F$49/12*1000-14/1000</f>
        <v>1.4460000000000002</v>
      </c>
    </row>
    <row r="52" spans="1:10" ht="12.75" customHeight="1">
      <c r="A52" s="39">
        <v>40</v>
      </c>
      <c r="B52" s="40" t="s">
        <v>111</v>
      </c>
      <c r="C52" s="41" t="s">
        <v>112</v>
      </c>
      <c r="D52" s="41" t="s">
        <v>113</v>
      </c>
      <c r="E52" s="42">
        <v>1978.4</v>
      </c>
      <c r="F52" s="42">
        <v>1978.4</v>
      </c>
      <c r="G52" s="43" t="s">
        <v>18</v>
      </c>
      <c r="H52" s="43" t="s">
        <v>18</v>
      </c>
      <c r="I52" s="43" t="s">
        <v>18</v>
      </c>
      <c r="J52" s="44">
        <f>'[1]форма 13'!$F$52/12*1000-0.484445</f>
        <v>12.015554999999999</v>
      </c>
    </row>
    <row r="53" spans="1:10" ht="15">
      <c r="A53" s="24"/>
      <c r="B53" s="25" t="s">
        <v>120</v>
      </c>
      <c r="C53" s="26"/>
      <c r="D53" s="26"/>
      <c r="E53" s="27"/>
      <c r="F53" s="27"/>
      <c r="G53" s="27"/>
      <c r="H53" s="27"/>
      <c r="I53" s="27"/>
      <c r="J53" s="28"/>
    </row>
    <row r="54" spans="1:10" ht="15">
      <c r="A54" s="29">
        <v>41</v>
      </c>
      <c r="B54" s="30" t="s">
        <v>87</v>
      </c>
      <c r="C54" s="31"/>
      <c r="D54" s="31"/>
      <c r="E54" s="9">
        <v>1284.67</v>
      </c>
      <c r="F54" s="9">
        <v>1284.67</v>
      </c>
      <c r="G54" s="10" t="s">
        <v>18</v>
      </c>
      <c r="H54" s="10" t="s">
        <v>18</v>
      </c>
      <c r="I54" s="11" t="s">
        <v>18</v>
      </c>
      <c r="J54" s="34">
        <v>0.67545884</v>
      </c>
    </row>
    <row r="55" spans="1:10" ht="15">
      <c r="A55" s="29">
        <v>42</v>
      </c>
      <c r="B55" s="30" t="s">
        <v>121</v>
      </c>
      <c r="C55" s="31"/>
      <c r="D55" s="31"/>
      <c r="E55" s="9">
        <v>1284.67</v>
      </c>
      <c r="F55" s="9">
        <v>1284.67</v>
      </c>
      <c r="G55" s="10" t="s">
        <v>18</v>
      </c>
      <c r="H55" s="10" t="s">
        <v>18</v>
      </c>
      <c r="I55" s="11" t="s">
        <v>18</v>
      </c>
      <c r="J55" s="35">
        <v>1.380168</v>
      </c>
    </row>
    <row r="56" spans="1:10" ht="15">
      <c r="A56" s="29">
        <v>43</v>
      </c>
      <c r="B56" s="32" t="s">
        <v>122</v>
      </c>
      <c r="C56" s="31" t="s">
        <v>123</v>
      </c>
      <c r="D56" s="31" t="s">
        <v>124</v>
      </c>
      <c r="E56" s="9">
        <v>1284.67</v>
      </c>
      <c r="F56" s="9">
        <v>1284.67</v>
      </c>
      <c r="G56" s="10" t="s">
        <v>18</v>
      </c>
      <c r="H56" s="10" t="s">
        <v>18</v>
      </c>
      <c r="I56" s="11" t="s">
        <v>18</v>
      </c>
      <c r="J56" s="35">
        <v>0.08349232</v>
      </c>
    </row>
    <row r="57" spans="1:10" ht="15">
      <c r="A57" s="29">
        <v>44</v>
      </c>
      <c r="B57" s="32" t="s">
        <v>125</v>
      </c>
      <c r="C57" s="31" t="s">
        <v>126</v>
      </c>
      <c r="D57" s="31" t="s">
        <v>127</v>
      </c>
      <c r="E57" s="9">
        <v>1284.67</v>
      </c>
      <c r="F57" s="9">
        <v>1284.67</v>
      </c>
      <c r="G57" s="10" t="s">
        <v>18</v>
      </c>
      <c r="H57" s="10" t="s">
        <v>18</v>
      </c>
      <c r="I57" s="11" t="s">
        <v>18</v>
      </c>
      <c r="J57" s="35">
        <v>0.0002</v>
      </c>
    </row>
    <row r="58" spans="1:10" ht="15">
      <c r="A58" s="29">
        <v>45</v>
      </c>
      <c r="B58" s="32" t="s">
        <v>128</v>
      </c>
      <c r="C58" s="31" t="s">
        <v>129</v>
      </c>
      <c r="D58" s="31" t="s">
        <v>130</v>
      </c>
      <c r="E58" s="9">
        <v>1284.67</v>
      </c>
      <c r="F58" s="9">
        <v>1284.67</v>
      </c>
      <c r="G58" s="10" t="s">
        <v>18</v>
      </c>
      <c r="H58" s="10" t="s">
        <v>18</v>
      </c>
      <c r="I58" s="11" t="s">
        <v>18</v>
      </c>
      <c r="J58" s="35">
        <v>0.0008</v>
      </c>
    </row>
    <row r="59" spans="1:10" ht="15">
      <c r="A59" s="29">
        <v>46</v>
      </c>
      <c r="B59" s="32" t="s">
        <v>131</v>
      </c>
      <c r="C59" s="31" t="s">
        <v>132</v>
      </c>
      <c r="D59" s="31" t="s">
        <v>133</v>
      </c>
      <c r="E59" s="9">
        <v>1284.67</v>
      </c>
      <c r="F59" s="9">
        <v>1284.67</v>
      </c>
      <c r="G59" s="10" t="s">
        <v>18</v>
      </c>
      <c r="H59" s="10" t="s">
        <v>18</v>
      </c>
      <c r="I59" s="11" t="s">
        <v>18</v>
      </c>
      <c r="J59" s="35">
        <v>0.00448866</v>
      </c>
    </row>
    <row r="60" spans="1:10" ht="15">
      <c r="A60" s="29">
        <v>47</v>
      </c>
      <c r="B60" s="32" t="s">
        <v>134</v>
      </c>
      <c r="C60" s="31" t="s">
        <v>135</v>
      </c>
      <c r="D60" s="31" t="s">
        <v>136</v>
      </c>
      <c r="E60" s="9">
        <v>1284.67</v>
      </c>
      <c r="F60" s="9">
        <v>1284.67</v>
      </c>
      <c r="G60" s="10" t="s">
        <v>18</v>
      </c>
      <c r="H60" s="10" t="s">
        <v>18</v>
      </c>
      <c r="I60" s="11" t="s">
        <v>18</v>
      </c>
      <c r="J60" s="35">
        <v>0.0085</v>
      </c>
    </row>
    <row r="61" spans="1:10" ht="15">
      <c r="A61" s="29">
        <v>48</v>
      </c>
      <c r="B61" s="32" t="s">
        <v>137</v>
      </c>
      <c r="C61" s="31" t="s">
        <v>138</v>
      </c>
      <c r="D61" s="31" t="s">
        <v>139</v>
      </c>
      <c r="E61" s="9">
        <v>1284.67</v>
      </c>
      <c r="F61" s="9">
        <v>1284.67</v>
      </c>
      <c r="G61" s="10" t="s">
        <v>18</v>
      </c>
      <c r="H61" s="10" t="s">
        <v>18</v>
      </c>
      <c r="I61" s="11" t="s">
        <v>18</v>
      </c>
      <c r="J61" s="35">
        <v>0.00083</v>
      </c>
    </row>
    <row r="62" spans="1:10" ht="15">
      <c r="A62" s="29">
        <v>49</v>
      </c>
      <c r="B62" s="32" t="s">
        <v>140</v>
      </c>
      <c r="C62" s="31" t="s">
        <v>141</v>
      </c>
      <c r="D62" s="31" t="s">
        <v>142</v>
      </c>
      <c r="E62" s="9">
        <v>1284.67</v>
      </c>
      <c r="F62" s="9">
        <v>1284.67</v>
      </c>
      <c r="G62" s="10" t="s">
        <v>18</v>
      </c>
      <c r="H62" s="10" t="s">
        <v>18</v>
      </c>
      <c r="I62" s="11" t="s">
        <v>18</v>
      </c>
      <c r="J62" s="35">
        <v>0.00042052</v>
      </c>
    </row>
    <row r="63" spans="1:10" ht="15">
      <c r="A63" s="29">
        <v>50</v>
      </c>
      <c r="B63" s="32" t="s">
        <v>143</v>
      </c>
      <c r="C63" s="31" t="s">
        <v>144</v>
      </c>
      <c r="D63" s="31" t="s">
        <v>145</v>
      </c>
      <c r="E63" s="9">
        <v>1284.67</v>
      </c>
      <c r="F63" s="9">
        <v>1284.67</v>
      </c>
      <c r="G63" s="10" t="s">
        <v>18</v>
      </c>
      <c r="H63" s="10" t="s">
        <v>18</v>
      </c>
      <c r="I63" s="11" t="s">
        <v>18</v>
      </c>
      <c r="J63" s="35">
        <v>0.00087981</v>
      </c>
    </row>
    <row r="64" spans="1:10" ht="15">
      <c r="A64" s="29">
        <v>51</v>
      </c>
      <c r="B64" s="32" t="s">
        <v>146</v>
      </c>
      <c r="C64" s="31" t="s">
        <v>147</v>
      </c>
      <c r="D64" s="31" t="s">
        <v>148</v>
      </c>
      <c r="E64" s="9">
        <v>1284.67</v>
      </c>
      <c r="F64" s="9">
        <v>1284.67</v>
      </c>
      <c r="G64" s="10" t="s">
        <v>18</v>
      </c>
      <c r="H64" s="10" t="s">
        <v>18</v>
      </c>
      <c r="I64" s="11" t="s">
        <v>18</v>
      </c>
      <c r="J64" s="36">
        <v>0.002213</v>
      </c>
    </row>
    <row r="65" spans="1:10" ht="15">
      <c r="A65" s="29">
        <v>52</v>
      </c>
      <c r="B65" s="30" t="s">
        <v>149</v>
      </c>
      <c r="C65" s="31"/>
      <c r="D65" s="31"/>
      <c r="E65" s="9">
        <v>1284.67</v>
      </c>
      <c r="F65" s="9">
        <v>1284.67</v>
      </c>
      <c r="G65" s="10" t="s">
        <v>18</v>
      </c>
      <c r="H65" s="10" t="s">
        <v>18</v>
      </c>
      <c r="I65" s="11" t="s">
        <v>18</v>
      </c>
      <c r="J65" s="34">
        <v>0.21984926</v>
      </c>
    </row>
    <row r="66" spans="1:10" ht="15">
      <c r="A66" s="29">
        <v>53</v>
      </c>
      <c r="B66" s="32" t="s">
        <v>150</v>
      </c>
      <c r="C66" s="31" t="s">
        <v>151</v>
      </c>
      <c r="D66" s="31" t="s">
        <v>152</v>
      </c>
      <c r="E66" s="9">
        <v>1284.67</v>
      </c>
      <c r="F66" s="9">
        <v>1284.67</v>
      </c>
      <c r="G66" s="10" t="s">
        <v>18</v>
      </c>
      <c r="H66" s="10" t="s">
        <v>18</v>
      </c>
      <c r="I66" s="11" t="s">
        <v>18</v>
      </c>
      <c r="J66" s="36">
        <v>0.0008456</v>
      </c>
    </row>
    <row r="67" spans="1:10" ht="15">
      <c r="A67" s="29">
        <v>54</v>
      </c>
      <c r="B67" s="32" t="s">
        <v>153</v>
      </c>
      <c r="C67" s="31" t="s">
        <v>154</v>
      </c>
      <c r="D67" s="31" t="s">
        <v>155</v>
      </c>
      <c r="E67" s="9">
        <v>1284.67</v>
      </c>
      <c r="F67" s="9">
        <v>1284.67</v>
      </c>
      <c r="G67" s="10" t="s">
        <v>18</v>
      </c>
      <c r="H67" s="10" t="s">
        <v>18</v>
      </c>
      <c r="I67" s="11" t="s">
        <v>18</v>
      </c>
      <c r="J67" s="37">
        <v>8.64E-05</v>
      </c>
    </row>
    <row r="68" spans="1:10" ht="15">
      <c r="A68" s="29">
        <v>55</v>
      </c>
      <c r="B68" s="32" t="s">
        <v>156</v>
      </c>
      <c r="C68" s="31" t="s">
        <v>157</v>
      </c>
      <c r="D68" s="31" t="s">
        <v>158</v>
      </c>
      <c r="E68" s="9">
        <v>1284.67</v>
      </c>
      <c r="F68" s="9">
        <v>1284.67</v>
      </c>
      <c r="G68" s="10" t="s">
        <v>18</v>
      </c>
      <c r="H68" s="10" t="s">
        <v>18</v>
      </c>
      <c r="I68" s="11" t="s">
        <v>18</v>
      </c>
      <c r="J68" s="36">
        <v>0.00048755</v>
      </c>
    </row>
    <row r="69" spans="1:10" ht="15">
      <c r="A69" s="29">
        <v>56</v>
      </c>
      <c r="B69" s="32" t="s">
        <v>159</v>
      </c>
      <c r="C69" s="31" t="s">
        <v>160</v>
      </c>
      <c r="D69" s="31" t="s">
        <v>161</v>
      </c>
      <c r="E69" s="9">
        <v>1284.67</v>
      </c>
      <c r="F69" s="9">
        <v>1284.67</v>
      </c>
      <c r="G69" s="10" t="s">
        <v>18</v>
      </c>
      <c r="H69" s="10" t="s">
        <v>18</v>
      </c>
      <c r="I69" s="11" t="s">
        <v>18</v>
      </c>
      <c r="J69" s="36">
        <v>0.00041198</v>
      </c>
    </row>
    <row r="70" spans="1:10" ht="15">
      <c r="A70" s="29">
        <v>57</v>
      </c>
      <c r="B70" s="32" t="s">
        <v>162</v>
      </c>
      <c r="C70" s="31" t="s">
        <v>163</v>
      </c>
      <c r="D70" s="31" t="s">
        <v>164</v>
      </c>
      <c r="E70" s="9">
        <v>1284.67</v>
      </c>
      <c r="F70" s="9">
        <v>1284.67</v>
      </c>
      <c r="G70" s="10" t="s">
        <v>18</v>
      </c>
      <c r="H70" s="10" t="s">
        <v>18</v>
      </c>
      <c r="I70" s="11" t="s">
        <v>18</v>
      </c>
      <c r="J70" s="36">
        <v>0.00016839</v>
      </c>
    </row>
    <row r="71" spans="1:10" ht="15">
      <c r="A71" s="29">
        <v>58</v>
      </c>
      <c r="B71" s="30" t="s">
        <v>165</v>
      </c>
      <c r="C71" s="31"/>
      <c r="D71" s="31"/>
      <c r="E71" s="9"/>
      <c r="F71" s="9"/>
      <c r="G71" s="10"/>
      <c r="H71" s="10"/>
      <c r="I71" s="11"/>
      <c r="J71" s="36"/>
    </row>
    <row r="72" spans="1:10" ht="15">
      <c r="A72" s="29">
        <v>59</v>
      </c>
      <c r="B72" s="32" t="s">
        <v>166</v>
      </c>
      <c r="C72" s="31" t="s">
        <v>167</v>
      </c>
      <c r="D72" s="31" t="s">
        <v>168</v>
      </c>
      <c r="E72" s="9">
        <v>1284.67</v>
      </c>
      <c r="F72" s="9">
        <v>1284.67</v>
      </c>
      <c r="G72" s="10" t="s">
        <v>18</v>
      </c>
      <c r="H72" s="10" t="s">
        <v>18</v>
      </c>
      <c r="I72" s="11" t="s">
        <v>18</v>
      </c>
      <c r="J72" s="36">
        <v>0.005328</v>
      </c>
    </row>
    <row r="73" spans="1:10" ht="15">
      <c r="A73" s="29">
        <v>60</v>
      </c>
      <c r="B73" s="32" t="s">
        <v>169</v>
      </c>
      <c r="C73" s="31" t="s">
        <v>170</v>
      </c>
      <c r="D73" s="31" t="s">
        <v>171</v>
      </c>
      <c r="E73" s="9">
        <v>1284.67</v>
      </c>
      <c r="F73" s="9">
        <v>1284.67</v>
      </c>
      <c r="G73" s="10" t="s">
        <v>18</v>
      </c>
      <c r="H73" s="10" t="s">
        <v>18</v>
      </c>
      <c r="I73" s="11" t="s">
        <v>18</v>
      </c>
      <c r="J73" s="36">
        <v>0.020295</v>
      </c>
    </row>
    <row r="74" spans="1:10" ht="15">
      <c r="A74" s="29">
        <v>61</v>
      </c>
      <c r="B74" s="32" t="s">
        <v>172</v>
      </c>
      <c r="C74" s="31" t="s">
        <v>173</v>
      </c>
      <c r="D74" s="31" t="s">
        <v>174</v>
      </c>
      <c r="E74" s="9">
        <v>1284.67</v>
      </c>
      <c r="F74" s="9">
        <v>1284.67</v>
      </c>
      <c r="G74" s="10" t="s">
        <v>18</v>
      </c>
      <c r="H74" s="10" t="s">
        <v>18</v>
      </c>
      <c r="I74" s="11" t="s">
        <v>18</v>
      </c>
      <c r="J74" s="36">
        <v>0.00505586</v>
      </c>
    </row>
    <row r="75" spans="2:10" ht="12.75">
      <c r="B75" s="45" t="s">
        <v>114</v>
      </c>
      <c r="C75" s="45"/>
      <c r="D75" s="45"/>
      <c r="E75" s="45"/>
      <c r="F75" s="45"/>
      <c r="G75" s="45"/>
      <c r="H75" s="45"/>
      <c r="I75" s="45"/>
      <c r="J75" s="45"/>
    </row>
  </sheetData>
  <sheetProtection/>
  <mergeCells count="54"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B75:J75"/>
    <mergeCell ref="A9:J9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SheetLayoutView="100" zoomScalePageLayoutView="0" workbookViewId="0" topLeftCell="A32">
      <selection activeCell="B52" sqref="B52:J52"/>
    </sheetView>
  </sheetViews>
  <sheetFormatPr defaultColWidth="9.140625" defaultRowHeight="15"/>
  <cols>
    <col min="1" max="1" width="5.8515625" style="3" customWidth="1"/>
    <col min="2" max="2" width="41.8515625" style="3" customWidth="1"/>
    <col min="3" max="3" width="35.8515625" style="3" customWidth="1"/>
    <col min="4" max="4" width="34.00390625" style="3" customWidth="1"/>
    <col min="5" max="5" width="17.421875" style="3" customWidth="1"/>
    <col min="6" max="6" width="16.57421875" style="3" customWidth="1"/>
    <col min="7" max="7" width="17.140625" style="3" customWidth="1"/>
    <col min="8" max="8" width="15.00390625" style="3" customWidth="1"/>
    <col min="9" max="9" width="19.421875" style="3" customWidth="1"/>
    <col min="10" max="10" width="16.851562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3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6.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10" ht="16.5">
      <c r="A9" s="46" t="s">
        <v>115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7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12.75">
      <c r="A13" s="22"/>
      <c r="B13" s="23" t="s">
        <v>119</v>
      </c>
      <c r="C13" s="22"/>
      <c r="D13" s="22"/>
      <c r="E13" s="22"/>
      <c r="F13" s="22"/>
      <c r="G13" s="22"/>
      <c r="H13" s="22"/>
      <c r="I13" s="22"/>
      <c r="J13" s="22"/>
    </row>
    <row r="14" spans="1:10" ht="12.75">
      <c r="A14" s="7">
        <v>1</v>
      </c>
      <c r="B14" s="8" t="s">
        <v>17</v>
      </c>
      <c r="C14" s="7"/>
      <c r="D14" s="7"/>
      <c r="E14" s="9">
        <v>1310.36</v>
      </c>
      <c r="F14" s="9">
        <v>1310.36</v>
      </c>
      <c r="G14" s="10" t="s">
        <v>18</v>
      </c>
      <c r="H14" s="10" t="s">
        <v>18</v>
      </c>
      <c r="I14" s="11" t="s">
        <v>18</v>
      </c>
      <c r="J14" s="11">
        <f>SUM(920+710+1200+960+510+1200)/12-60566.367/1000</f>
        <v>397.7669663333333</v>
      </c>
    </row>
    <row r="15" spans="1:10" ht="12.75">
      <c r="A15" s="12">
        <v>2</v>
      </c>
      <c r="B15" s="8" t="s">
        <v>19</v>
      </c>
      <c r="C15" s="13" t="s">
        <v>20</v>
      </c>
      <c r="D15" s="13" t="s">
        <v>21</v>
      </c>
      <c r="E15" s="9">
        <v>1310.36</v>
      </c>
      <c r="F15" s="9">
        <v>1310.36</v>
      </c>
      <c r="G15" s="10" t="s">
        <v>18</v>
      </c>
      <c r="H15" s="10" t="s">
        <v>18</v>
      </c>
      <c r="I15" s="11" t="s">
        <v>18</v>
      </c>
      <c r="J15" s="11">
        <f>'[1]форма 13'!$F$6/12*1000-17.497/1000</f>
        <v>0.34750300000000006</v>
      </c>
    </row>
    <row r="16" spans="1:10" ht="12.75">
      <c r="A16" s="12">
        <v>3</v>
      </c>
      <c r="B16" s="8" t="s">
        <v>22</v>
      </c>
      <c r="C16" s="13" t="s">
        <v>23</v>
      </c>
      <c r="D16" s="13" t="s">
        <v>24</v>
      </c>
      <c r="E16" s="9">
        <v>1310.36</v>
      </c>
      <c r="F16" s="9">
        <v>1310.36</v>
      </c>
      <c r="G16" s="10" t="s">
        <v>18</v>
      </c>
      <c r="H16" s="10" t="s">
        <v>18</v>
      </c>
      <c r="I16" s="11" t="s">
        <v>18</v>
      </c>
      <c r="J16" s="11">
        <f>'[2]форма 13'!$F$8/12*1000-35.169/1000</f>
        <v>0.877331</v>
      </c>
    </row>
    <row r="17" spans="1:10" ht="12.75">
      <c r="A17" s="12">
        <v>4</v>
      </c>
      <c r="B17" s="8" t="s">
        <v>25</v>
      </c>
      <c r="C17" s="13" t="s">
        <v>23</v>
      </c>
      <c r="D17" s="13" t="s">
        <v>26</v>
      </c>
      <c r="E17" s="9">
        <v>1310.36</v>
      </c>
      <c r="F17" s="9">
        <v>1310.36</v>
      </c>
      <c r="G17" s="10" t="s">
        <v>18</v>
      </c>
      <c r="H17" s="10" t="s">
        <v>18</v>
      </c>
      <c r="I17" s="11" t="s">
        <v>18</v>
      </c>
      <c r="J17" s="11">
        <f>'[2]форма 13'!$F$8/12*1000-38.952/1000</f>
        <v>0.873548</v>
      </c>
    </row>
    <row r="18" spans="1:10" ht="12.75">
      <c r="A18" s="7">
        <v>5</v>
      </c>
      <c r="B18" s="8" t="s">
        <v>27</v>
      </c>
      <c r="C18" s="13" t="s">
        <v>23</v>
      </c>
      <c r="D18" s="13" t="s">
        <v>28</v>
      </c>
      <c r="E18" s="9">
        <v>1310.36</v>
      </c>
      <c r="F18" s="9">
        <v>1310.36</v>
      </c>
      <c r="G18" s="10" t="s">
        <v>18</v>
      </c>
      <c r="H18" s="10" t="s">
        <v>18</v>
      </c>
      <c r="I18" s="11" t="s">
        <v>18</v>
      </c>
      <c r="J18" s="11">
        <f>'[1]форма 13'!$F$9/12*1000-17.375/1000</f>
        <v>0.28679166666666667</v>
      </c>
    </row>
    <row r="19" spans="1:10" ht="12.75">
      <c r="A19" s="12">
        <v>6</v>
      </c>
      <c r="B19" s="8" t="s">
        <v>29</v>
      </c>
      <c r="C19" s="13" t="s">
        <v>30</v>
      </c>
      <c r="D19" s="13" t="s">
        <v>31</v>
      </c>
      <c r="E19" s="9">
        <v>1310.36</v>
      </c>
      <c r="F19" s="9">
        <v>1310.36</v>
      </c>
      <c r="G19" s="10" t="s">
        <v>18</v>
      </c>
      <c r="H19" s="10" t="s">
        <v>18</v>
      </c>
      <c r="I19" s="11" t="s">
        <v>18</v>
      </c>
      <c r="J19" s="11">
        <f>'[2]форма 13'!$F$7/12*1000-201.718/1000</f>
        <v>0.29828200000000005</v>
      </c>
    </row>
    <row r="20" spans="1:10" ht="12.75">
      <c r="A20" s="12">
        <v>7</v>
      </c>
      <c r="B20" s="8" t="s">
        <v>32</v>
      </c>
      <c r="C20" s="13" t="s">
        <v>33</v>
      </c>
      <c r="D20" s="13" t="s">
        <v>34</v>
      </c>
      <c r="E20" s="9">
        <v>1310.36</v>
      </c>
      <c r="F20" s="9">
        <v>1310.36</v>
      </c>
      <c r="G20" s="10" t="s">
        <v>18</v>
      </c>
      <c r="H20" s="10" t="s">
        <v>18</v>
      </c>
      <c r="I20" s="11" t="s">
        <v>18</v>
      </c>
      <c r="J20" s="11">
        <v>0</v>
      </c>
    </row>
    <row r="21" spans="1:10" ht="12.75">
      <c r="A21" s="12">
        <v>8</v>
      </c>
      <c r="B21" s="14" t="s">
        <v>35</v>
      </c>
      <c r="C21" s="13" t="s">
        <v>36</v>
      </c>
      <c r="D21" s="13" t="s">
        <v>37</v>
      </c>
      <c r="E21" s="9">
        <v>1310.36</v>
      </c>
      <c r="F21" s="9">
        <v>1310.36</v>
      </c>
      <c r="G21" s="10" t="s">
        <v>18</v>
      </c>
      <c r="H21" s="10" t="s">
        <v>18</v>
      </c>
      <c r="I21" s="11" t="s">
        <v>18</v>
      </c>
      <c r="J21" s="11">
        <f>'[1]форма 13'!$F$12/12*1000-30.055/1000</f>
        <v>1.2778616666666667</v>
      </c>
    </row>
    <row r="22" spans="1:10" ht="12.75">
      <c r="A22" s="7">
        <v>9</v>
      </c>
      <c r="B22" s="15" t="s">
        <v>38</v>
      </c>
      <c r="C22" s="13" t="s">
        <v>39</v>
      </c>
      <c r="D22" s="13" t="s">
        <v>40</v>
      </c>
      <c r="E22" s="9">
        <v>1310.36</v>
      </c>
      <c r="F22" s="9">
        <v>1310.36</v>
      </c>
      <c r="G22" s="10" t="s">
        <v>18</v>
      </c>
      <c r="H22" s="10" t="s">
        <v>18</v>
      </c>
      <c r="I22" s="11" t="s">
        <v>18</v>
      </c>
      <c r="J22" s="11">
        <f>'[1]форма 13'!$F$35/12*1000-(20.069+16.105)/1000</f>
        <v>9.622159333333332</v>
      </c>
    </row>
    <row r="23" spans="1:10" ht="12.75">
      <c r="A23" s="12">
        <v>10</v>
      </c>
      <c r="B23" s="14" t="s">
        <v>41</v>
      </c>
      <c r="C23" s="13" t="s">
        <v>42</v>
      </c>
      <c r="D23" s="13" t="s">
        <v>43</v>
      </c>
      <c r="E23" s="9">
        <v>1310.36</v>
      </c>
      <c r="F23" s="9">
        <v>1310.36</v>
      </c>
      <c r="G23" s="10" t="s">
        <v>18</v>
      </c>
      <c r="H23" s="10" t="s">
        <v>18</v>
      </c>
      <c r="I23" s="11" t="s">
        <v>18</v>
      </c>
      <c r="J23" s="11">
        <f>'[1]форма 13'!$F$36/12*1000-20.069/1000</f>
        <v>0.7090976666666667</v>
      </c>
    </row>
    <row r="24" spans="1:10" ht="12.75">
      <c r="A24" s="12">
        <v>11</v>
      </c>
      <c r="B24" s="14" t="s">
        <v>44</v>
      </c>
      <c r="C24" s="13" t="s">
        <v>42</v>
      </c>
      <c r="D24" s="13" t="s">
        <v>45</v>
      </c>
      <c r="E24" s="9">
        <v>1310.36</v>
      </c>
      <c r="F24" s="9">
        <v>1310.36</v>
      </c>
      <c r="G24" s="10" t="s">
        <v>18</v>
      </c>
      <c r="H24" s="10" t="s">
        <v>18</v>
      </c>
      <c r="I24" s="11" t="s">
        <v>18</v>
      </c>
      <c r="J24" s="11">
        <f>'[1]форма 13'!$F$37/12*1000-16.105/1000</f>
        <v>1.4438950000000002</v>
      </c>
    </row>
    <row r="25" spans="1:10" ht="12.75">
      <c r="A25" s="12">
        <v>12</v>
      </c>
      <c r="B25" s="8" t="s">
        <v>46</v>
      </c>
      <c r="C25" s="13" t="s">
        <v>47</v>
      </c>
      <c r="D25" s="13" t="s">
        <v>48</v>
      </c>
      <c r="E25" s="9">
        <v>1310.36</v>
      </c>
      <c r="F25" s="9">
        <v>1310.36</v>
      </c>
      <c r="G25" s="10" t="s">
        <v>18</v>
      </c>
      <c r="H25" s="10" t="s">
        <v>18</v>
      </c>
      <c r="I25" s="11" t="s">
        <v>18</v>
      </c>
      <c r="J25" s="11">
        <f>'[1]форма 13'!$F$16/12*1000-11.909/1000</f>
        <v>4.154757666666667</v>
      </c>
    </row>
    <row r="26" spans="1:10" ht="12.75">
      <c r="A26" s="7">
        <v>13</v>
      </c>
      <c r="B26" s="8" t="s">
        <v>49</v>
      </c>
      <c r="C26" s="13" t="s">
        <v>50</v>
      </c>
      <c r="D26" s="13" t="s">
        <v>51</v>
      </c>
      <c r="E26" s="9">
        <v>1310.36</v>
      </c>
      <c r="F26" s="9">
        <v>1310.36</v>
      </c>
      <c r="G26" s="10" t="s">
        <v>18</v>
      </c>
      <c r="H26" s="10" t="s">
        <v>18</v>
      </c>
      <c r="I26" s="11" t="s">
        <v>18</v>
      </c>
      <c r="J26" s="11">
        <f>'[1]форма 13'!$F$17/12*1000-581.546/1000</f>
        <v>16.501787333333333</v>
      </c>
    </row>
    <row r="27" spans="1:10" ht="12.75">
      <c r="A27" s="12">
        <v>14</v>
      </c>
      <c r="B27" s="8" t="s">
        <v>52</v>
      </c>
      <c r="C27" s="13" t="s">
        <v>53</v>
      </c>
      <c r="D27" s="13" t="s">
        <v>54</v>
      </c>
      <c r="E27" s="9">
        <v>1310.36</v>
      </c>
      <c r="F27" s="9">
        <v>1310.36</v>
      </c>
      <c r="G27" s="10" t="s">
        <v>18</v>
      </c>
      <c r="H27" s="10" t="s">
        <v>18</v>
      </c>
      <c r="I27" s="11" t="s">
        <v>18</v>
      </c>
      <c r="J27" s="11">
        <f>'[1]форма 13'!$F$23/12*1000-3.442/1000</f>
        <v>0.16322466666666666</v>
      </c>
    </row>
    <row r="28" spans="1:10" ht="12.75">
      <c r="A28" s="12">
        <v>15</v>
      </c>
      <c r="B28" s="16" t="s">
        <v>55</v>
      </c>
      <c r="C28" s="13" t="s">
        <v>56</v>
      </c>
      <c r="D28" s="13" t="s">
        <v>57</v>
      </c>
      <c r="E28" s="9">
        <v>1310.36</v>
      </c>
      <c r="F28" s="9">
        <v>1310.36</v>
      </c>
      <c r="G28" s="10" t="s">
        <v>18</v>
      </c>
      <c r="H28" s="10" t="s">
        <v>18</v>
      </c>
      <c r="I28" s="11" t="s">
        <v>18</v>
      </c>
      <c r="J28" s="11">
        <f>('[2]форма 13'!$F$18+'[2]форма 13'!$F$19)/12*1000-(36.457+38.06)/1000</f>
        <v>2.0088163333333333</v>
      </c>
    </row>
    <row r="29" spans="1:10" ht="12.75">
      <c r="A29" s="12">
        <v>16</v>
      </c>
      <c r="B29" s="17" t="s">
        <v>58</v>
      </c>
      <c r="C29" s="13" t="s">
        <v>59</v>
      </c>
      <c r="D29" s="13" t="s">
        <v>60</v>
      </c>
      <c r="E29" s="9">
        <v>1310.36</v>
      </c>
      <c r="F29" s="9">
        <v>1310.36</v>
      </c>
      <c r="G29" s="10" t="s">
        <v>18</v>
      </c>
      <c r="H29" s="10" t="s">
        <v>18</v>
      </c>
      <c r="I29" s="11" t="s">
        <v>18</v>
      </c>
      <c r="J29" s="11">
        <f>'[1]форма 13'!$F$21/12*1000-36.457/1000</f>
        <v>1.6302096666666668</v>
      </c>
    </row>
    <row r="30" spans="1:10" ht="12.75">
      <c r="A30" s="7">
        <v>17</v>
      </c>
      <c r="B30" s="17" t="s">
        <v>61</v>
      </c>
      <c r="C30" s="13" t="s">
        <v>59</v>
      </c>
      <c r="D30" s="13" t="s">
        <v>62</v>
      </c>
      <c r="E30" s="9">
        <v>1310.36</v>
      </c>
      <c r="F30" s="9">
        <v>1310.36</v>
      </c>
      <c r="G30" s="10" t="s">
        <v>18</v>
      </c>
      <c r="H30" s="10" t="s">
        <v>18</v>
      </c>
      <c r="I30" s="11" t="s">
        <v>18</v>
      </c>
      <c r="J30" s="11">
        <f>'[1]форма 13'!$F$20/12*1000-38.06/1000</f>
        <v>0.6919400000000001</v>
      </c>
    </row>
    <row r="31" spans="1:10" ht="12.75">
      <c r="A31" s="12">
        <v>18</v>
      </c>
      <c r="B31" s="14" t="s">
        <v>63</v>
      </c>
      <c r="C31" s="13" t="s">
        <v>64</v>
      </c>
      <c r="D31" s="13" t="s">
        <v>65</v>
      </c>
      <c r="E31" s="9">
        <v>1310.36</v>
      </c>
      <c r="F31" s="9">
        <v>1310.36</v>
      </c>
      <c r="G31" s="10" t="s">
        <v>18</v>
      </c>
      <c r="H31" s="10" t="s">
        <v>18</v>
      </c>
      <c r="I31" s="11" t="s">
        <v>18</v>
      </c>
      <c r="J31" s="11">
        <f>'[1]форма 13'!$F$24/12*1000-5.442/1000</f>
        <v>8.161224666666667</v>
      </c>
    </row>
    <row r="32" spans="1:10" ht="12.75">
      <c r="A32" s="12">
        <v>19</v>
      </c>
      <c r="B32" s="14" t="s">
        <v>66</v>
      </c>
      <c r="C32" s="13" t="s">
        <v>67</v>
      </c>
      <c r="D32" s="13" t="s">
        <v>68</v>
      </c>
      <c r="E32" s="9">
        <v>1310.36</v>
      </c>
      <c r="F32" s="9">
        <v>1310.36</v>
      </c>
      <c r="G32" s="10" t="s">
        <v>18</v>
      </c>
      <c r="H32" s="10" t="s">
        <v>18</v>
      </c>
      <c r="I32" s="11" t="s">
        <v>18</v>
      </c>
      <c r="J32" s="11">
        <f>'[2]форма 13'!$F$25/12*1000-27.594/1000</f>
        <v>0.472406</v>
      </c>
    </row>
    <row r="33" spans="1:10" ht="12.75">
      <c r="A33" s="12">
        <v>20</v>
      </c>
      <c r="B33" s="15" t="s">
        <v>69</v>
      </c>
      <c r="C33" s="13" t="s">
        <v>70</v>
      </c>
      <c r="D33" s="13" t="s">
        <v>71</v>
      </c>
      <c r="E33" s="9">
        <v>1310.36</v>
      </c>
      <c r="F33" s="9">
        <v>1310.36</v>
      </c>
      <c r="G33" s="10" t="s">
        <v>18</v>
      </c>
      <c r="H33" s="10" t="s">
        <v>18</v>
      </c>
      <c r="I33" s="11" t="s">
        <v>18</v>
      </c>
      <c r="J33" s="11">
        <f>('[1]форма 13'!$F$28+'[1]форма 13'!$F$29)/12*1000-160.698/1000</f>
        <v>26.505968666666668</v>
      </c>
    </row>
    <row r="34" spans="1:10" ht="12.75">
      <c r="A34" s="7">
        <v>21</v>
      </c>
      <c r="B34" s="8" t="s">
        <v>72</v>
      </c>
      <c r="C34" s="13" t="s">
        <v>73</v>
      </c>
      <c r="D34" s="13" t="s">
        <v>74</v>
      </c>
      <c r="E34" s="9">
        <v>1310.36</v>
      </c>
      <c r="F34" s="9">
        <v>1310.36</v>
      </c>
      <c r="G34" s="10" t="s">
        <v>18</v>
      </c>
      <c r="H34" s="10" t="s">
        <v>18</v>
      </c>
      <c r="I34" s="11" t="s">
        <v>18</v>
      </c>
      <c r="J34" s="11">
        <f>'[2]форма 13'!$F$30/12*1000-160.698/1000</f>
        <v>0.6726353333333334</v>
      </c>
    </row>
    <row r="35" spans="1:10" ht="12.75">
      <c r="A35" s="12">
        <v>22</v>
      </c>
      <c r="B35" s="15" t="s">
        <v>75</v>
      </c>
      <c r="C35" s="13" t="s">
        <v>73</v>
      </c>
      <c r="D35" s="13" t="s">
        <v>76</v>
      </c>
      <c r="E35" s="9">
        <v>1310.36</v>
      </c>
      <c r="F35" s="9">
        <v>1310.36</v>
      </c>
      <c r="G35" s="10" t="s">
        <v>18</v>
      </c>
      <c r="H35" s="10" t="s">
        <v>18</v>
      </c>
      <c r="I35" s="11" t="s">
        <v>18</v>
      </c>
      <c r="J35" s="11">
        <f>'[1]форма 13'!$F$31/12*1000-47.177/1000</f>
        <v>14.744489666666666</v>
      </c>
    </row>
    <row r="36" spans="1:10" ht="12.75">
      <c r="A36" s="12">
        <v>23</v>
      </c>
      <c r="B36" s="8" t="s">
        <v>77</v>
      </c>
      <c r="C36" s="13" t="s">
        <v>73</v>
      </c>
      <c r="D36" s="13" t="s">
        <v>78</v>
      </c>
      <c r="E36" s="9">
        <v>1310.36</v>
      </c>
      <c r="F36" s="9">
        <v>1310.36</v>
      </c>
      <c r="G36" s="10" t="s">
        <v>18</v>
      </c>
      <c r="H36" s="10" t="s">
        <v>18</v>
      </c>
      <c r="I36" s="11" t="s">
        <v>18</v>
      </c>
      <c r="J36" s="11">
        <f>'[1]форма 13'!$F$32/12*1000-47.177/1000</f>
        <v>0.6194896666666666</v>
      </c>
    </row>
    <row r="37" spans="1:10" ht="12.75">
      <c r="A37" s="12">
        <v>24</v>
      </c>
      <c r="B37" s="18" t="s">
        <v>79</v>
      </c>
      <c r="C37" s="13" t="s">
        <v>73</v>
      </c>
      <c r="D37" s="13" t="s">
        <v>80</v>
      </c>
      <c r="E37" s="9">
        <v>1310.36</v>
      </c>
      <c r="F37" s="9">
        <v>1310.36</v>
      </c>
      <c r="G37" s="10" t="s">
        <v>18</v>
      </c>
      <c r="H37" s="10" t="s">
        <v>18</v>
      </c>
      <c r="I37" s="11" t="s">
        <v>18</v>
      </c>
      <c r="J37" s="11">
        <f>'[1]форма 13'!$F$33/12*1000-26.004/1000</f>
        <v>13.661496</v>
      </c>
    </row>
    <row r="38" spans="1:10" ht="12.75">
      <c r="A38" s="7">
        <v>25</v>
      </c>
      <c r="B38" s="8" t="s">
        <v>81</v>
      </c>
      <c r="C38" s="13" t="s">
        <v>79</v>
      </c>
      <c r="D38" s="13" t="s">
        <v>82</v>
      </c>
      <c r="E38" s="9">
        <v>1310.36</v>
      </c>
      <c r="F38" s="9">
        <v>1310.36</v>
      </c>
      <c r="G38" s="10" t="s">
        <v>18</v>
      </c>
      <c r="H38" s="10" t="s">
        <v>18</v>
      </c>
      <c r="I38" s="11" t="s">
        <v>18</v>
      </c>
      <c r="J38" s="11">
        <f>'[1]форма 13'!$F$34/12*1000-10.55/1000</f>
        <v>0.6561166666666667</v>
      </c>
    </row>
    <row r="39" spans="1:10" ht="12.75">
      <c r="A39" s="12">
        <v>26</v>
      </c>
      <c r="B39" s="19" t="s">
        <v>83</v>
      </c>
      <c r="C39" s="13" t="s">
        <v>84</v>
      </c>
      <c r="D39" s="13" t="s">
        <v>85</v>
      </c>
      <c r="E39" s="9">
        <v>1310.36</v>
      </c>
      <c r="F39" s="9">
        <v>1310.36</v>
      </c>
      <c r="G39" s="10" t="s">
        <v>18</v>
      </c>
      <c r="H39" s="10" t="s">
        <v>18</v>
      </c>
      <c r="I39" s="11" t="s">
        <v>18</v>
      </c>
      <c r="J39" s="11">
        <f>'[1]форма 13'!$F$26/12*1000-0/1000</f>
        <v>87.6</v>
      </c>
    </row>
    <row r="40" spans="1:10" ht="12.75">
      <c r="A40" s="12">
        <v>27</v>
      </c>
      <c r="B40" s="15" t="s">
        <v>86</v>
      </c>
      <c r="C40" s="13" t="s">
        <v>87</v>
      </c>
      <c r="D40" s="13" t="s">
        <v>88</v>
      </c>
      <c r="E40" s="9">
        <v>1310.36</v>
      </c>
      <c r="F40" s="9">
        <v>1310.36</v>
      </c>
      <c r="G40" s="10" t="s">
        <v>18</v>
      </c>
      <c r="H40" s="10" t="s">
        <v>18</v>
      </c>
      <c r="I40" s="11" t="s">
        <v>18</v>
      </c>
      <c r="J40" s="11">
        <f>'[1]форма 13'!$F$38/12*1000-(197.841+67.602+78.548+33.108+244.332+36.878+24.89)/1000</f>
        <v>43.316801000000005</v>
      </c>
    </row>
    <row r="41" spans="1:10" ht="12.75">
      <c r="A41" s="12">
        <v>28</v>
      </c>
      <c r="B41" s="14" t="s">
        <v>89</v>
      </c>
      <c r="C41" s="13" t="s">
        <v>90</v>
      </c>
      <c r="D41" s="13" t="s">
        <v>91</v>
      </c>
      <c r="E41" s="9">
        <v>1310.36</v>
      </c>
      <c r="F41" s="9">
        <v>1310.36</v>
      </c>
      <c r="G41" s="10" t="s">
        <v>18</v>
      </c>
      <c r="H41" s="10" t="s">
        <v>18</v>
      </c>
      <c r="I41" s="11" t="s">
        <v>18</v>
      </c>
      <c r="J41" s="11">
        <f>'[1]форма 13'!$F$39/12*1000-197.841/1000</f>
        <v>7.1021589999999994</v>
      </c>
    </row>
    <row r="42" spans="1:10" ht="12.75">
      <c r="A42" s="7">
        <v>29</v>
      </c>
      <c r="B42" s="20" t="s">
        <v>92</v>
      </c>
      <c r="C42" s="13" t="s">
        <v>90</v>
      </c>
      <c r="D42" s="13" t="s">
        <v>93</v>
      </c>
      <c r="E42" s="9">
        <v>1310.36</v>
      </c>
      <c r="F42" s="9">
        <v>1310.36</v>
      </c>
      <c r="G42" s="10" t="s">
        <v>18</v>
      </c>
      <c r="H42" s="10" t="s">
        <v>18</v>
      </c>
      <c r="I42" s="11" t="s">
        <v>18</v>
      </c>
      <c r="J42" s="11">
        <f>('[1]форма 13'!$F$40+'[1]форма 13'!$F$41)/12*1000-(197.841+67.602+78.548+33.108+244.332+36.878)/1000</f>
        <v>87.34169100000001</v>
      </c>
    </row>
    <row r="43" spans="1:10" ht="12.75">
      <c r="A43" s="12">
        <v>30</v>
      </c>
      <c r="B43" s="15" t="s">
        <v>93</v>
      </c>
      <c r="C43" s="13" t="s">
        <v>94</v>
      </c>
      <c r="D43" s="13" t="s">
        <v>95</v>
      </c>
      <c r="E43" s="9">
        <v>1310.36</v>
      </c>
      <c r="F43" s="9">
        <v>1310.36</v>
      </c>
      <c r="G43" s="10" t="s">
        <v>18</v>
      </c>
      <c r="H43" s="10" t="s">
        <v>18</v>
      </c>
      <c r="I43" s="11" t="s">
        <v>18</v>
      </c>
      <c r="J43" s="11">
        <f>'[1]форма 13'!$F$43/12*1000-(67.602+78.548+33.108+244.332+36.878+24.89)/1000</f>
        <v>41.181308666666666</v>
      </c>
    </row>
    <row r="44" spans="1:10" ht="12.75">
      <c r="A44" s="12">
        <v>31</v>
      </c>
      <c r="B44" s="8" t="s">
        <v>96</v>
      </c>
      <c r="C44" s="13" t="s">
        <v>93</v>
      </c>
      <c r="D44" s="13" t="s">
        <v>97</v>
      </c>
      <c r="E44" s="9">
        <v>1310.36</v>
      </c>
      <c r="F44" s="9">
        <v>1310.36</v>
      </c>
      <c r="G44" s="10" t="s">
        <v>18</v>
      </c>
      <c r="H44" s="10" t="s">
        <v>18</v>
      </c>
      <c r="I44" s="11" t="s">
        <v>18</v>
      </c>
      <c r="J44" s="11">
        <f>'[1]форма 13'!$F$42/12*1000-67.602/1000</f>
        <v>3.582398</v>
      </c>
    </row>
    <row r="45" spans="1:10" ht="12.75">
      <c r="A45" s="12">
        <v>32</v>
      </c>
      <c r="B45" s="8" t="s">
        <v>98</v>
      </c>
      <c r="C45" s="13" t="s">
        <v>93</v>
      </c>
      <c r="D45" s="13" t="s">
        <v>99</v>
      </c>
      <c r="E45" s="9">
        <v>1310.36</v>
      </c>
      <c r="F45" s="9">
        <v>1310.36</v>
      </c>
      <c r="G45" s="10" t="s">
        <v>18</v>
      </c>
      <c r="H45" s="10" t="s">
        <v>18</v>
      </c>
      <c r="I45" s="11" t="s">
        <v>18</v>
      </c>
      <c r="J45" s="11">
        <f>'[1]форма 13'!$F$44/12*1000-33.108/1000</f>
        <v>1.4268920000000003</v>
      </c>
    </row>
    <row r="46" spans="1:10" ht="12.75">
      <c r="A46" s="7">
        <v>33</v>
      </c>
      <c r="B46" s="8" t="s">
        <v>100</v>
      </c>
      <c r="C46" s="13" t="s">
        <v>93</v>
      </c>
      <c r="D46" s="13" t="s">
        <v>101</v>
      </c>
      <c r="E46" s="9">
        <v>1310.36</v>
      </c>
      <c r="F46" s="9">
        <v>1310.36</v>
      </c>
      <c r="G46" s="10" t="s">
        <v>18</v>
      </c>
      <c r="H46" s="10" t="s">
        <v>18</v>
      </c>
      <c r="I46" s="11" t="s">
        <v>18</v>
      </c>
      <c r="J46" s="11">
        <f>'[1]форма 13'!$F$45/12*1000-78.548/1000</f>
        <v>3.571452</v>
      </c>
    </row>
    <row r="47" spans="1:10" ht="12.75">
      <c r="A47" s="12">
        <v>34</v>
      </c>
      <c r="B47" s="8" t="s">
        <v>102</v>
      </c>
      <c r="C47" s="13" t="s">
        <v>93</v>
      </c>
      <c r="D47" s="13" t="s">
        <v>103</v>
      </c>
      <c r="E47" s="9">
        <v>1310.36</v>
      </c>
      <c r="F47" s="9">
        <v>1310.36</v>
      </c>
      <c r="G47" s="10" t="s">
        <v>18</v>
      </c>
      <c r="H47" s="10" t="s">
        <v>18</v>
      </c>
      <c r="I47" s="11" t="s">
        <v>18</v>
      </c>
      <c r="J47" s="11">
        <f>'[1]форма 13'!$F$46/12*1000-244.332/1000</f>
        <v>7.055668</v>
      </c>
    </row>
    <row r="48" spans="1:10" ht="12.75">
      <c r="A48" s="12">
        <v>35</v>
      </c>
      <c r="B48" s="15" t="s">
        <v>104</v>
      </c>
      <c r="C48" s="13" t="s">
        <v>93</v>
      </c>
      <c r="D48" s="13" t="s">
        <v>105</v>
      </c>
      <c r="E48" s="9">
        <v>1310.36</v>
      </c>
      <c r="F48" s="9">
        <v>1310.36</v>
      </c>
      <c r="G48" s="10" t="s">
        <v>18</v>
      </c>
      <c r="H48" s="10" t="s">
        <v>18</v>
      </c>
      <c r="I48" s="11" t="s">
        <v>18</v>
      </c>
      <c r="J48" s="11">
        <f>'[1]форма 13'!$F$50/10*1000-24.89/1000</f>
        <v>11.77511</v>
      </c>
    </row>
    <row r="49" spans="1:10" ht="12.75">
      <c r="A49" s="12">
        <v>36</v>
      </c>
      <c r="B49" s="14" t="s">
        <v>105</v>
      </c>
      <c r="C49" s="13" t="s">
        <v>104</v>
      </c>
      <c r="D49" s="13" t="s">
        <v>106</v>
      </c>
      <c r="E49" s="9">
        <v>1310.36</v>
      </c>
      <c r="F49" s="9">
        <v>1310.36</v>
      </c>
      <c r="G49" s="10" t="s">
        <v>18</v>
      </c>
      <c r="H49" s="10" t="s">
        <v>18</v>
      </c>
      <c r="I49" s="11" t="s">
        <v>18</v>
      </c>
      <c r="J49" s="11">
        <f>'[1]форма 13'!$F$51/12*1000-24.89/1000</f>
        <v>1.5871933333333332</v>
      </c>
    </row>
    <row r="50" spans="1:10" ht="12.75">
      <c r="A50" s="7">
        <v>37</v>
      </c>
      <c r="B50" s="18" t="s">
        <v>107</v>
      </c>
      <c r="C50" s="13" t="s">
        <v>93</v>
      </c>
      <c r="D50" s="13" t="s">
        <v>108</v>
      </c>
      <c r="E50" s="9">
        <v>1310.36</v>
      </c>
      <c r="F50" s="9">
        <v>1310.36</v>
      </c>
      <c r="G50" s="10" t="s">
        <v>18</v>
      </c>
      <c r="H50" s="10" t="s">
        <v>18</v>
      </c>
      <c r="I50" s="11" t="s">
        <v>18</v>
      </c>
      <c r="J50" s="11">
        <f>'[1]форма 13'!$F$47/12*1000-36.878/1000</f>
        <v>35.59645533333333</v>
      </c>
    </row>
    <row r="51" spans="1:10" ht="12.75">
      <c r="A51" s="12">
        <v>38</v>
      </c>
      <c r="B51" s="21" t="s">
        <v>109</v>
      </c>
      <c r="C51" s="13" t="s">
        <v>107</v>
      </c>
      <c r="D51" s="13" t="s">
        <v>110</v>
      </c>
      <c r="E51" s="9">
        <v>1310.36</v>
      </c>
      <c r="F51" s="9">
        <v>1310.36</v>
      </c>
      <c r="G51" s="10" t="s">
        <v>18</v>
      </c>
      <c r="H51" s="10" t="s">
        <v>18</v>
      </c>
      <c r="I51" s="11" t="s">
        <v>18</v>
      </c>
      <c r="J51" s="11">
        <f>'[1]форма 13'!$F$49/12*1000-36.878/1000</f>
        <v>1.4231220000000002</v>
      </c>
    </row>
    <row r="52" spans="1:10" ht="12.75" customHeight="1">
      <c r="A52" s="12">
        <v>40</v>
      </c>
      <c r="B52" s="40" t="s">
        <v>111</v>
      </c>
      <c r="C52" s="41" t="s">
        <v>112</v>
      </c>
      <c r="D52" s="41" t="s">
        <v>113</v>
      </c>
      <c r="E52" s="42">
        <v>1978.4</v>
      </c>
      <c r="F52" s="42">
        <v>1978.4</v>
      </c>
      <c r="G52" s="43" t="s">
        <v>18</v>
      </c>
      <c r="H52" s="43" t="s">
        <v>18</v>
      </c>
      <c r="I52" s="43" t="s">
        <v>18</v>
      </c>
      <c r="J52" s="43">
        <f>'[1]форма 13'!$F$52/12*1000-0.493178</f>
        <v>12.006821999999998</v>
      </c>
    </row>
    <row r="53" spans="1:10" ht="12.75" customHeight="1">
      <c r="A53" s="24"/>
      <c r="B53" s="25" t="s">
        <v>120</v>
      </c>
      <c r="C53" s="26"/>
      <c r="D53" s="26"/>
      <c r="E53" s="27"/>
      <c r="F53" s="27"/>
      <c r="G53" s="27"/>
      <c r="H53" s="27"/>
      <c r="I53" s="27"/>
      <c r="J53" s="28"/>
    </row>
    <row r="54" spans="1:10" ht="12.75" customHeight="1">
      <c r="A54" s="29">
        <v>41</v>
      </c>
      <c r="B54" s="30" t="s">
        <v>87</v>
      </c>
      <c r="C54" s="31"/>
      <c r="D54" s="31"/>
      <c r="E54" s="9">
        <v>1310.36</v>
      </c>
      <c r="F54" s="9">
        <v>1310.36</v>
      </c>
      <c r="G54" s="10" t="s">
        <v>18</v>
      </c>
      <c r="H54" s="10" t="s">
        <v>18</v>
      </c>
      <c r="I54" s="11" t="s">
        <v>18</v>
      </c>
      <c r="J54" s="34">
        <v>0.7240208800000001</v>
      </c>
    </row>
    <row r="55" spans="1:10" ht="12.75" customHeight="1">
      <c r="A55" s="29">
        <v>42</v>
      </c>
      <c r="B55" s="30" t="s">
        <v>121</v>
      </c>
      <c r="C55" s="31"/>
      <c r="D55" s="31"/>
      <c r="E55" s="9">
        <v>1310.36</v>
      </c>
      <c r="F55" s="9">
        <v>1310.36</v>
      </c>
      <c r="G55" s="10" t="s">
        <v>18</v>
      </c>
      <c r="H55" s="10" t="s">
        <v>18</v>
      </c>
      <c r="I55" s="11" t="s">
        <v>18</v>
      </c>
      <c r="J55" s="35">
        <v>1.536361</v>
      </c>
    </row>
    <row r="56" spans="1:10" ht="12.75" customHeight="1">
      <c r="A56" s="29">
        <v>43</v>
      </c>
      <c r="B56" s="32" t="s">
        <v>122</v>
      </c>
      <c r="C56" s="31" t="s">
        <v>123</v>
      </c>
      <c r="D56" s="31" t="s">
        <v>124</v>
      </c>
      <c r="E56" s="9">
        <v>1310.36</v>
      </c>
      <c r="F56" s="9">
        <v>1310.36</v>
      </c>
      <c r="G56" s="10" t="s">
        <v>18</v>
      </c>
      <c r="H56" s="10" t="s">
        <v>18</v>
      </c>
      <c r="I56" s="11" t="s">
        <v>18</v>
      </c>
      <c r="J56" s="35">
        <v>0.089681</v>
      </c>
    </row>
    <row r="57" spans="1:10" ht="12.75" customHeight="1">
      <c r="A57" s="29">
        <v>44</v>
      </c>
      <c r="B57" s="32" t="s">
        <v>125</v>
      </c>
      <c r="C57" s="31" t="s">
        <v>126</v>
      </c>
      <c r="D57" s="31" t="s">
        <v>127</v>
      </c>
      <c r="E57" s="9">
        <v>1310.36</v>
      </c>
      <c r="F57" s="9">
        <v>1310.36</v>
      </c>
      <c r="G57" s="10" t="s">
        <v>18</v>
      </c>
      <c r="H57" s="10" t="s">
        <v>18</v>
      </c>
      <c r="I57" s="11" t="s">
        <v>18</v>
      </c>
      <c r="J57" s="35">
        <v>0.0002</v>
      </c>
    </row>
    <row r="58" spans="1:10" ht="12.75" customHeight="1">
      <c r="A58" s="29">
        <v>45</v>
      </c>
      <c r="B58" s="32" t="s">
        <v>128</v>
      </c>
      <c r="C58" s="31" t="s">
        <v>129</v>
      </c>
      <c r="D58" s="31" t="s">
        <v>130</v>
      </c>
      <c r="E58" s="9">
        <v>1310.36</v>
      </c>
      <c r="F58" s="9">
        <v>1310.36</v>
      </c>
      <c r="G58" s="10" t="s">
        <v>18</v>
      </c>
      <c r="H58" s="10" t="s">
        <v>18</v>
      </c>
      <c r="I58" s="11" t="s">
        <v>18</v>
      </c>
      <c r="J58" s="35">
        <v>0.0009</v>
      </c>
    </row>
    <row r="59" spans="1:10" ht="12.75" customHeight="1">
      <c r="A59" s="29">
        <v>46</v>
      </c>
      <c r="B59" s="32" t="s">
        <v>131</v>
      </c>
      <c r="C59" s="31" t="s">
        <v>132</v>
      </c>
      <c r="D59" s="31" t="s">
        <v>133</v>
      </c>
      <c r="E59" s="9">
        <v>1310.36</v>
      </c>
      <c r="F59" s="9">
        <v>1310.36</v>
      </c>
      <c r="G59" s="10" t="s">
        <v>18</v>
      </c>
      <c r="H59" s="10" t="s">
        <v>18</v>
      </c>
      <c r="I59" s="11" t="s">
        <v>18</v>
      </c>
      <c r="J59" s="35">
        <v>0.0053</v>
      </c>
    </row>
    <row r="60" spans="1:10" ht="12.75" customHeight="1">
      <c r="A60" s="29">
        <v>47</v>
      </c>
      <c r="B60" s="32" t="s">
        <v>134</v>
      </c>
      <c r="C60" s="31" t="s">
        <v>135</v>
      </c>
      <c r="D60" s="31" t="s">
        <v>136</v>
      </c>
      <c r="E60" s="9">
        <v>1310.36</v>
      </c>
      <c r="F60" s="9">
        <v>1310.36</v>
      </c>
      <c r="G60" s="10" t="s">
        <v>18</v>
      </c>
      <c r="H60" s="10" t="s">
        <v>18</v>
      </c>
      <c r="I60" s="11" t="s">
        <v>18</v>
      </c>
      <c r="J60" s="35">
        <v>0.0089</v>
      </c>
    </row>
    <row r="61" spans="1:10" ht="12.75" customHeight="1">
      <c r="A61" s="29">
        <v>48</v>
      </c>
      <c r="B61" s="32" t="s">
        <v>137</v>
      </c>
      <c r="C61" s="31" t="s">
        <v>138</v>
      </c>
      <c r="D61" s="31" t="s">
        <v>139</v>
      </c>
      <c r="E61" s="9">
        <v>1310.36</v>
      </c>
      <c r="F61" s="9">
        <v>1310.36</v>
      </c>
      <c r="G61" s="10" t="s">
        <v>18</v>
      </c>
      <c r="H61" s="10" t="s">
        <v>18</v>
      </c>
      <c r="I61" s="11" t="s">
        <v>18</v>
      </c>
      <c r="J61" s="35">
        <v>0.000872</v>
      </c>
    </row>
    <row r="62" spans="1:10" ht="12.75" customHeight="1">
      <c r="A62" s="29">
        <v>49</v>
      </c>
      <c r="B62" s="32" t="s">
        <v>140</v>
      </c>
      <c r="C62" s="31" t="s">
        <v>141</v>
      </c>
      <c r="D62" s="31" t="s">
        <v>142</v>
      </c>
      <c r="E62" s="9">
        <v>1310.36</v>
      </c>
      <c r="F62" s="9">
        <v>1310.36</v>
      </c>
      <c r="G62" s="10" t="s">
        <v>18</v>
      </c>
      <c r="H62" s="10" t="s">
        <v>18</v>
      </c>
      <c r="I62" s="11" t="s">
        <v>18</v>
      </c>
      <c r="J62" s="35">
        <v>0.0004339</v>
      </c>
    </row>
    <row r="63" spans="1:10" ht="12.75" customHeight="1">
      <c r="A63" s="29">
        <v>50</v>
      </c>
      <c r="B63" s="32" t="s">
        <v>143</v>
      </c>
      <c r="C63" s="31" t="s">
        <v>144</v>
      </c>
      <c r="D63" s="31" t="s">
        <v>145</v>
      </c>
      <c r="E63" s="9">
        <v>1310.36</v>
      </c>
      <c r="F63" s="9">
        <v>1310.36</v>
      </c>
      <c r="G63" s="10" t="s">
        <v>18</v>
      </c>
      <c r="H63" s="10" t="s">
        <v>18</v>
      </c>
      <c r="I63" s="11" t="s">
        <v>18</v>
      </c>
      <c r="J63" s="35">
        <v>0.00091138</v>
      </c>
    </row>
    <row r="64" spans="1:10" ht="12.75" customHeight="1">
      <c r="A64" s="29">
        <v>51</v>
      </c>
      <c r="B64" s="32" t="s">
        <v>146</v>
      </c>
      <c r="C64" s="31" t="s">
        <v>147</v>
      </c>
      <c r="D64" s="31" t="s">
        <v>148</v>
      </c>
      <c r="E64" s="9">
        <v>1310.36</v>
      </c>
      <c r="F64" s="9">
        <v>1310.36</v>
      </c>
      <c r="G64" s="10" t="s">
        <v>18</v>
      </c>
      <c r="H64" s="10" t="s">
        <v>18</v>
      </c>
      <c r="I64" s="11" t="s">
        <v>18</v>
      </c>
      <c r="J64" s="36">
        <v>0.002257</v>
      </c>
    </row>
    <row r="65" spans="1:10" ht="12.75" customHeight="1">
      <c r="A65" s="29">
        <v>52</v>
      </c>
      <c r="B65" s="30" t="s">
        <v>149</v>
      </c>
      <c r="C65" s="31"/>
      <c r="D65" s="31"/>
      <c r="E65" s="9">
        <v>1310.36</v>
      </c>
      <c r="F65" s="9">
        <v>1310.36</v>
      </c>
      <c r="G65" s="10" t="s">
        <v>18</v>
      </c>
      <c r="H65" s="10" t="s">
        <v>18</v>
      </c>
      <c r="I65" s="11" t="s">
        <v>18</v>
      </c>
      <c r="J65" s="34">
        <v>0.23473321</v>
      </c>
    </row>
    <row r="66" spans="1:10" ht="12.75" customHeight="1">
      <c r="A66" s="29">
        <v>53</v>
      </c>
      <c r="B66" s="32" t="s">
        <v>150</v>
      </c>
      <c r="C66" s="31" t="s">
        <v>151</v>
      </c>
      <c r="D66" s="31" t="s">
        <v>152</v>
      </c>
      <c r="E66" s="9">
        <v>1310.36</v>
      </c>
      <c r="F66" s="9">
        <v>1310.36</v>
      </c>
      <c r="G66" s="10" t="s">
        <v>18</v>
      </c>
      <c r="H66" s="10" t="s">
        <v>18</v>
      </c>
      <c r="I66" s="11" t="s">
        <v>18</v>
      </c>
      <c r="J66" s="36">
        <v>0.0008997</v>
      </c>
    </row>
    <row r="67" spans="1:10" ht="12.75" customHeight="1">
      <c r="A67" s="29">
        <v>54</v>
      </c>
      <c r="B67" s="32" t="s">
        <v>153</v>
      </c>
      <c r="C67" s="31" t="s">
        <v>154</v>
      </c>
      <c r="D67" s="31" t="s">
        <v>155</v>
      </c>
      <c r="E67" s="9">
        <v>1310.36</v>
      </c>
      <c r="F67" s="9">
        <v>1310.36</v>
      </c>
      <c r="G67" s="10" t="s">
        <v>18</v>
      </c>
      <c r="H67" s="10" t="s">
        <v>18</v>
      </c>
      <c r="I67" s="11" t="s">
        <v>18</v>
      </c>
      <c r="J67" s="37">
        <v>8.64E-05</v>
      </c>
    </row>
    <row r="68" spans="1:10" ht="12.75" customHeight="1">
      <c r="A68" s="29">
        <v>55</v>
      </c>
      <c r="B68" s="32" t="s">
        <v>156</v>
      </c>
      <c r="C68" s="31" t="s">
        <v>157</v>
      </c>
      <c r="D68" s="31" t="s">
        <v>158</v>
      </c>
      <c r="E68" s="9">
        <v>1310.36</v>
      </c>
      <c r="F68" s="9">
        <v>1310.36</v>
      </c>
      <c r="G68" s="10" t="s">
        <v>18</v>
      </c>
      <c r="H68" s="10" t="s">
        <v>18</v>
      </c>
      <c r="I68" s="11" t="s">
        <v>18</v>
      </c>
      <c r="J68" s="36">
        <v>0.00051522</v>
      </c>
    </row>
    <row r="69" spans="1:10" ht="12.75" customHeight="1">
      <c r="A69" s="29">
        <v>56</v>
      </c>
      <c r="B69" s="32" t="s">
        <v>159</v>
      </c>
      <c r="C69" s="31" t="s">
        <v>160</v>
      </c>
      <c r="D69" s="31" t="s">
        <v>161</v>
      </c>
      <c r="E69" s="9">
        <v>1310.36</v>
      </c>
      <c r="F69" s="9">
        <v>1310.36</v>
      </c>
      <c r="G69" s="10" t="s">
        <v>18</v>
      </c>
      <c r="H69" s="10" t="s">
        <v>18</v>
      </c>
      <c r="I69" s="11" t="s">
        <v>18</v>
      </c>
      <c r="J69" s="36">
        <v>0.00043412</v>
      </c>
    </row>
    <row r="70" spans="1:10" ht="12.75" customHeight="1">
      <c r="A70" s="29">
        <v>57</v>
      </c>
      <c r="B70" s="32" t="s">
        <v>162</v>
      </c>
      <c r="C70" s="31" t="s">
        <v>163</v>
      </c>
      <c r="D70" s="31" t="s">
        <v>164</v>
      </c>
      <c r="E70" s="9">
        <v>1310.36</v>
      </c>
      <c r="F70" s="9">
        <v>1310.36</v>
      </c>
      <c r="G70" s="10" t="s">
        <v>18</v>
      </c>
      <c r="H70" s="10" t="s">
        <v>18</v>
      </c>
      <c r="I70" s="11" t="s">
        <v>18</v>
      </c>
      <c r="J70" s="36">
        <v>0.00018567</v>
      </c>
    </row>
    <row r="71" spans="1:10" ht="12.75" customHeight="1">
      <c r="A71" s="29">
        <v>58</v>
      </c>
      <c r="B71" s="30" t="s">
        <v>165</v>
      </c>
      <c r="C71" s="31"/>
      <c r="D71" s="31"/>
      <c r="E71" s="9"/>
      <c r="F71" s="9"/>
      <c r="G71" s="10"/>
      <c r="H71" s="10"/>
      <c r="I71" s="11"/>
      <c r="J71" s="36"/>
    </row>
    <row r="72" spans="1:10" ht="12.75" customHeight="1">
      <c r="A72" s="29">
        <v>59</v>
      </c>
      <c r="B72" s="32" t="s">
        <v>166</v>
      </c>
      <c r="C72" s="31" t="s">
        <v>167</v>
      </c>
      <c r="D72" s="31" t="s">
        <v>168</v>
      </c>
      <c r="E72" s="9">
        <v>1310.36</v>
      </c>
      <c r="F72" s="9">
        <v>1310.36</v>
      </c>
      <c r="G72" s="10" t="s">
        <v>18</v>
      </c>
      <c r="H72" s="10" t="s">
        <v>18</v>
      </c>
      <c r="I72" s="11" t="s">
        <v>18</v>
      </c>
      <c r="J72" s="36">
        <v>0.005117</v>
      </c>
    </row>
    <row r="73" spans="1:10" ht="12.75" customHeight="1">
      <c r="A73" s="29">
        <v>60</v>
      </c>
      <c r="B73" s="32" t="s">
        <v>169</v>
      </c>
      <c r="C73" s="31" t="s">
        <v>170</v>
      </c>
      <c r="D73" s="31" t="s">
        <v>171</v>
      </c>
      <c r="E73" s="9">
        <v>1310.36</v>
      </c>
      <c r="F73" s="9">
        <v>1310.36</v>
      </c>
      <c r="G73" s="10" t="s">
        <v>18</v>
      </c>
      <c r="H73" s="10" t="s">
        <v>18</v>
      </c>
      <c r="I73" s="11" t="s">
        <v>18</v>
      </c>
      <c r="J73" s="36">
        <v>0.01930275</v>
      </c>
    </row>
    <row r="74" spans="1:10" ht="12.75" customHeight="1">
      <c r="A74" s="29">
        <v>61</v>
      </c>
      <c r="B74" s="32" t="s">
        <v>172</v>
      </c>
      <c r="C74" s="31" t="s">
        <v>173</v>
      </c>
      <c r="D74" s="31" t="s">
        <v>174</v>
      </c>
      <c r="E74" s="9">
        <v>1310.36</v>
      </c>
      <c r="F74" s="9">
        <v>1310.36</v>
      </c>
      <c r="G74" s="10" t="s">
        <v>18</v>
      </c>
      <c r="H74" s="10" t="s">
        <v>18</v>
      </c>
      <c r="I74" s="11" t="s">
        <v>18</v>
      </c>
      <c r="J74" s="36">
        <v>0.00516529</v>
      </c>
    </row>
    <row r="75" spans="1:10" ht="12.75">
      <c r="A75" s="1"/>
      <c r="B75" s="45" t="s">
        <v>114</v>
      </c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54"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A9:J9"/>
    <mergeCell ref="B75:J75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3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6"/>
  <sheetViews>
    <sheetView tabSelected="1" view="pageBreakPreview" zoomScaleSheetLayoutView="100" zoomScalePageLayoutView="0" workbookViewId="0" topLeftCell="A1">
      <selection activeCell="A52" sqref="A52:J52"/>
    </sheetView>
  </sheetViews>
  <sheetFormatPr defaultColWidth="9.140625" defaultRowHeight="15"/>
  <cols>
    <col min="1" max="1" width="5.8515625" style="3" customWidth="1"/>
    <col min="2" max="2" width="41.8515625" style="3" customWidth="1"/>
    <col min="3" max="3" width="35.140625" style="3" customWidth="1"/>
    <col min="4" max="4" width="34.00390625" style="3" customWidth="1"/>
    <col min="5" max="5" width="17.421875" style="3" customWidth="1"/>
    <col min="6" max="6" width="16.57421875" style="3" customWidth="1"/>
    <col min="7" max="7" width="17.140625" style="3" customWidth="1"/>
    <col min="8" max="8" width="15.00390625" style="3" customWidth="1"/>
    <col min="9" max="9" width="19.421875" style="3" customWidth="1"/>
    <col min="10" max="10" width="16.851562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3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6.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10" ht="16.5">
      <c r="A9" s="46" t="s">
        <v>116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7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12.75">
      <c r="A13" s="22"/>
      <c r="B13" s="23" t="s">
        <v>119</v>
      </c>
      <c r="C13" s="22"/>
      <c r="D13" s="22"/>
      <c r="E13" s="22"/>
      <c r="F13" s="22"/>
      <c r="G13" s="22"/>
      <c r="H13" s="22"/>
      <c r="I13" s="22"/>
      <c r="J13" s="22"/>
    </row>
    <row r="14" spans="1:10" ht="15">
      <c r="A14" s="7">
        <v>1</v>
      </c>
      <c r="B14" s="8" t="s">
        <v>17</v>
      </c>
      <c r="C14" s="7"/>
      <c r="D14" s="7"/>
      <c r="E14" s="9">
        <v>1310.36</v>
      </c>
      <c r="F14" s="9">
        <v>1310.36</v>
      </c>
      <c r="G14" s="10" t="s">
        <v>18</v>
      </c>
      <c r="H14" s="10" t="s">
        <v>18</v>
      </c>
      <c r="I14" s="11" t="s">
        <v>18</v>
      </c>
      <c r="J14" s="33">
        <f>SUM(920+710+1200+960+510+1200)/12-83407.765/1000</f>
        <v>374.92556833333333</v>
      </c>
    </row>
    <row r="15" spans="1:10" ht="15">
      <c r="A15" s="12">
        <v>2</v>
      </c>
      <c r="B15" s="8" t="s">
        <v>19</v>
      </c>
      <c r="C15" s="13" t="s">
        <v>20</v>
      </c>
      <c r="D15" s="13" t="s">
        <v>21</v>
      </c>
      <c r="E15" s="9">
        <v>1310.36</v>
      </c>
      <c r="F15" s="9">
        <v>1310.36</v>
      </c>
      <c r="G15" s="10" t="s">
        <v>18</v>
      </c>
      <c r="H15" s="10" t="s">
        <v>18</v>
      </c>
      <c r="I15" s="11" t="s">
        <v>18</v>
      </c>
      <c r="J15" s="33">
        <f>'[1]форма 13'!$F$6/12*1000-27.832/1000</f>
        <v>0.337168</v>
      </c>
    </row>
    <row r="16" spans="1:10" ht="15">
      <c r="A16" s="12">
        <v>3</v>
      </c>
      <c r="B16" s="8" t="s">
        <v>22</v>
      </c>
      <c r="C16" s="13" t="s">
        <v>23</v>
      </c>
      <c r="D16" s="13" t="s">
        <v>24</v>
      </c>
      <c r="E16" s="9">
        <v>1310.36</v>
      </c>
      <c r="F16" s="9">
        <v>1310.36</v>
      </c>
      <c r="G16" s="10" t="s">
        <v>18</v>
      </c>
      <c r="H16" s="10" t="s">
        <v>18</v>
      </c>
      <c r="I16" s="11" t="s">
        <v>18</v>
      </c>
      <c r="J16" s="33">
        <f>'[2]форма 13'!$F$8/12*1000-64.201/1000</f>
        <v>0.848299</v>
      </c>
    </row>
    <row r="17" spans="1:10" ht="15">
      <c r="A17" s="12">
        <v>4</v>
      </c>
      <c r="B17" s="8" t="s">
        <v>25</v>
      </c>
      <c r="C17" s="13" t="s">
        <v>23</v>
      </c>
      <c r="D17" s="13" t="s">
        <v>26</v>
      </c>
      <c r="E17" s="9">
        <v>1310.36</v>
      </c>
      <c r="F17" s="9">
        <v>1310.36</v>
      </c>
      <c r="G17" s="10" t="s">
        <v>18</v>
      </c>
      <c r="H17" s="10" t="s">
        <v>18</v>
      </c>
      <c r="I17" s="11" t="s">
        <v>18</v>
      </c>
      <c r="J17" s="33">
        <f>'[2]форма 13'!$F$8/12*1000-69.415/1000</f>
        <v>0.843085</v>
      </c>
    </row>
    <row r="18" spans="1:10" ht="15">
      <c r="A18" s="7">
        <v>5</v>
      </c>
      <c r="B18" s="8" t="s">
        <v>27</v>
      </c>
      <c r="C18" s="13" t="s">
        <v>23</v>
      </c>
      <c r="D18" s="13" t="s">
        <v>28</v>
      </c>
      <c r="E18" s="9">
        <v>1310.36</v>
      </c>
      <c r="F18" s="9">
        <v>1310.36</v>
      </c>
      <c r="G18" s="10" t="s">
        <v>18</v>
      </c>
      <c r="H18" s="10" t="s">
        <v>18</v>
      </c>
      <c r="I18" s="11" t="s">
        <v>18</v>
      </c>
      <c r="J18" s="33">
        <f>'[1]форма 13'!$F$9/12*1000-35.923/1000</f>
        <v>0.2682436666666667</v>
      </c>
    </row>
    <row r="19" spans="1:10" ht="15">
      <c r="A19" s="12">
        <v>6</v>
      </c>
      <c r="B19" s="8" t="s">
        <v>29</v>
      </c>
      <c r="C19" s="13" t="s">
        <v>30</v>
      </c>
      <c r="D19" s="13" t="s">
        <v>31</v>
      </c>
      <c r="E19" s="9">
        <v>1310.36</v>
      </c>
      <c r="F19" s="9">
        <v>1310.36</v>
      </c>
      <c r="G19" s="10" t="s">
        <v>18</v>
      </c>
      <c r="H19" s="10" t="s">
        <v>18</v>
      </c>
      <c r="I19" s="11" t="s">
        <v>18</v>
      </c>
      <c r="J19" s="33">
        <f>'[2]форма 13'!$F$7/12*1000-318.963/1000</f>
        <v>0.181037</v>
      </c>
    </row>
    <row r="20" spans="1:10" ht="15">
      <c r="A20" s="12">
        <v>7</v>
      </c>
      <c r="B20" s="8" t="s">
        <v>32</v>
      </c>
      <c r="C20" s="13" t="s">
        <v>33</v>
      </c>
      <c r="D20" s="13" t="s">
        <v>34</v>
      </c>
      <c r="E20" s="9">
        <v>1310.36</v>
      </c>
      <c r="F20" s="9">
        <v>1310.36</v>
      </c>
      <c r="G20" s="10" t="s">
        <v>18</v>
      </c>
      <c r="H20" s="10" t="s">
        <v>18</v>
      </c>
      <c r="I20" s="11" t="s">
        <v>18</v>
      </c>
      <c r="J20" s="33">
        <v>0</v>
      </c>
    </row>
    <row r="21" spans="1:10" ht="15">
      <c r="A21" s="12">
        <v>8</v>
      </c>
      <c r="B21" s="14" t="s">
        <v>35</v>
      </c>
      <c r="C21" s="13" t="s">
        <v>36</v>
      </c>
      <c r="D21" s="13" t="s">
        <v>37</v>
      </c>
      <c r="E21" s="9">
        <v>1310.36</v>
      </c>
      <c r="F21" s="9">
        <v>1310.36</v>
      </c>
      <c r="G21" s="10" t="s">
        <v>18</v>
      </c>
      <c r="H21" s="10" t="s">
        <v>18</v>
      </c>
      <c r="I21" s="11" t="s">
        <v>18</v>
      </c>
      <c r="J21" s="33">
        <f>'[1]форма 13'!$F$12/12*1000-46.149/1000</f>
        <v>1.2617676666666666</v>
      </c>
    </row>
    <row r="22" spans="1:10" ht="15">
      <c r="A22" s="7">
        <v>9</v>
      </c>
      <c r="B22" s="15" t="s">
        <v>38</v>
      </c>
      <c r="C22" s="13" t="s">
        <v>39</v>
      </c>
      <c r="D22" s="13" t="s">
        <v>40</v>
      </c>
      <c r="E22" s="9">
        <v>1310.36</v>
      </c>
      <c r="F22" s="9">
        <v>1310.36</v>
      </c>
      <c r="G22" s="10" t="s">
        <v>18</v>
      </c>
      <c r="H22" s="10" t="s">
        <v>18</v>
      </c>
      <c r="I22" s="11" t="s">
        <v>18</v>
      </c>
      <c r="J22" s="33">
        <f>'[1]форма 13'!$F$35/12*1000-(52.084+45.303)/1000</f>
        <v>9.560946333333334</v>
      </c>
    </row>
    <row r="23" spans="1:10" ht="15">
      <c r="A23" s="12">
        <v>10</v>
      </c>
      <c r="B23" s="14" t="s">
        <v>41</v>
      </c>
      <c r="C23" s="13" t="s">
        <v>42</v>
      </c>
      <c r="D23" s="13" t="s">
        <v>43</v>
      </c>
      <c r="E23" s="9">
        <v>1310.36</v>
      </c>
      <c r="F23" s="9">
        <v>1310.36</v>
      </c>
      <c r="G23" s="10" t="s">
        <v>18</v>
      </c>
      <c r="H23" s="10" t="s">
        <v>18</v>
      </c>
      <c r="I23" s="11" t="s">
        <v>18</v>
      </c>
      <c r="J23" s="33">
        <f>'[1]форма 13'!$F$36/12*1000-52.084/1000</f>
        <v>0.6770826666666667</v>
      </c>
    </row>
    <row r="24" spans="1:10" ht="15">
      <c r="A24" s="12">
        <v>11</v>
      </c>
      <c r="B24" s="14" t="s">
        <v>44</v>
      </c>
      <c r="C24" s="13" t="s">
        <v>42</v>
      </c>
      <c r="D24" s="13" t="s">
        <v>45</v>
      </c>
      <c r="E24" s="9">
        <v>1310.36</v>
      </c>
      <c r="F24" s="9">
        <v>1310.36</v>
      </c>
      <c r="G24" s="10" t="s">
        <v>18</v>
      </c>
      <c r="H24" s="10" t="s">
        <v>18</v>
      </c>
      <c r="I24" s="11" t="s">
        <v>18</v>
      </c>
      <c r="J24" s="33">
        <f>'[1]форма 13'!$F$37/12*1000-45.303/1000</f>
        <v>1.414697</v>
      </c>
    </row>
    <row r="25" spans="1:10" ht="15">
      <c r="A25" s="12">
        <v>12</v>
      </c>
      <c r="B25" s="8" t="s">
        <v>46</v>
      </c>
      <c r="C25" s="13" t="s">
        <v>47</v>
      </c>
      <c r="D25" s="13" t="s">
        <v>48</v>
      </c>
      <c r="E25" s="9">
        <v>1310.36</v>
      </c>
      <c r="F25" s="9">
        <v>1310.36</v>
      </c>
      <c r="G25" s="10" t="s">
        <v>18</v>
      </c>
      <c r="H25" s="10" t="s">
        <v>18</v>
      </c>
      <c r="I25" s="11" t="s">
        <v>18</v>
      </c>
      <c r="J25" s="33">
        <f>'[1]форма 13'!$F$16/12*1000-30.603/1000</f>
        <v>4.136063666666667</v>
      </c>
    </row>
    <row r="26" spans="1:10" ht="15">
      <c r="A26" s="7">
        <v>13</v>
      </c>
      <c r="B26" s="8" t="s">
        <v>49</v>
      </c>
      <c r="C26" s="13" t="s">
        <v>50</v>
      </c>
      <c r="D26" s="13" t="s">
        <v>51</v>
      </c>
      <c r="E26" s="9">
        <v>1310.36</v>
      </c>
      <c r="F26" s="9">
        <v>1310.36</v>
      </c>
      <c r="G26" s="10" t="s">
        <v>18</v>
      </c>
      <c r="H26" s="10" t="s">
        <v>18</v>
      </c>
      <c r="I26" s="11" t="s">
        <v>18</v>
      </c>
      <c r="J26" s="33">
        <f>'[1]форма 13'!$F$17/12*1000-1483.198/1000</f>
        <v>15.600135333333332</v>
      </c>
    </row>
    <row r="27" spans="1:10" ht="15">
      <c r="A27" s="12">
        <v>14</v>
      </c>
      <c r="B27" s="8" t="s">
        <v>52</v>
      </c>
      <c r="C27" s="13" t="s">
        <v>53</v>
      </c>
      <c r="D27" s="13" t="s">
        <v>54</v>
      </c>
      <c r="E27" s="9">
        <v>1310.36</v>
      </c>
      <c r="F27" s="9">
        <v>1310.36</v>
      </c>
      <c r="G27" s="10" t="s">
        <v>18</v>
      </c>
      <c r="H27" s="10" t="s">
        <v>18</v>
      </c>
      <c r="I27" s="11" t="s">
        <v>18</v>
      </c>
      <c r="J27" s="33">
        <f>'[1]форма 13'!$F$23/12*1000-13.952/1000</f>
        <v>0.15271466666666667</v>
      </c>
    </row>
    <row r="28" spans="1:10" ht="15">
      <c r="A28" s="12">
        <v>15</v>
      </c>
      <c r="B28" s="16" t="s">
        <v>55</v>
      </c>
      <c r="C28" s="13" t="s">
        <v>56</v>
      </c>
      <c r="D28" s="13" t="s">
        <v>57</v>
      </c>
      <c r="E28" s="9">
        <v>1310.36</v>
      </c>
      <c r="F28" s="9">
        <v>1310.36</v>
      </c>
      <c r="G28" s="10" t="s">
        <v>18</v>
      </c>
      <c r="H28" s="10" t="s">
        <v>18</v>
      </c>
      <c r="I28" s="11" t="s">
        <v>18</v>
      </c>
      <c r="J28" s="33">
        <f>('[2]форма 13'!$F$18+'[2]форма 13'!$F$19)/12*1000-(88.087+93.957)/1000</f>
        <v>1.9012893333333336</v>
      </c>
    </row>
    <row r="29" spans="1:10" ht="15">
      <c r="A29" s="12">
        <v>16</v>
      </c>
      <c r="B29" s="17" t="s">
        <v>58</v>
      </c>
      <c r="C29" s="13" t="s">
        <v>59</v>
      </c>
      <c r="D29" s="13" t="s">
        <v>60</v>
      </c>
      <c r="E29" s="9">
        <v>1310.36</v>
      </c>
      <c r="F29" s="9">
        <v>1310.36</v>
      </c>
      <c r="G29" s="10" t="s">
        <v>18</v>
      </c>
      <c r="H29" s="10" t="s">
        <v>18</v>
      </c>
      <c r="I29" s="11" t="s">
        <v>18</v>
      </c>
      <c r="J29" s="33">
        <f>'[1]форма 13'!$F$21/12*1000-88.087/1000</f>
        <v>1.5785796666666667</v>
      </c>
    </row>
    <row r="30" spans="1:10" ht="15">
      <c r="A30" s="7">
        <v>17</v>
      </c>
      <c r="B30" s="17" t="s">
        <v>61</v>
      </c>
      <c r="C30" s="13" t="s">
        <v>59</v>
      </c>
      <c r="D30" s="13" t="s">
        <v>62</v>
      </c>
      <c r="E30" s="9">
        <v>1310.36</v>
      </c>
      <c r="F30" s="9">
        <v>1310.36</v>
      </c>
      <c r="G30" s="10" t="s">
        <v>18</v>
      </c>
      <c r="H30" s="10" t="s">
        <v>18</v>
      </c>
      <c r="I30" s="11" t="s">
        <v>18</v>
      </c>
      <c r="J30" s="33">
        <f>'[1]форма 13'!$F$20/12*1000-93.957/1000</f>
        <v>0.6360430000000001</v>
      </c>
    </row>
    <row r="31" spans="1:10" ht="15">
      <c r="A31" s="12">
        <v>18</v>
      </c>
      <c r="B31" s="14" t="s">
        <v>63</v>
      </c>
      <c r="C31" s="13" t="s">
        <v>64</v>
      </c>
      <c r="D31" s="13" t="s">
        <v>65</v>
      </c>
      <c r="E31" s="9">
        <v>1310.36</v>
      </c>
      <c r="F31" s="9">
        <v>1310.36</v>
      </c>
      <c r="G31" s="10" t="s">
        <v>18</v>
      </c>
      <c r="H31" s="10" t="s">
        <v>18</v>
      </c>
      <c r="I31" s="11" t="s">
        <v>18</v>
      </c>
      <c r="J31" s="33">
        <f>'[1]форма 13'!$F$24/12*1000-19.089/1000</f>
        <v>8.147577666666669</v>
      </c>
    </row>
    <row r="32" spans="1:10" ht="15">
      <c r="A32" s="12">
        <v>19</v>
      </c>
      <c r="B32" s="14" t="s">
        <v>66</v>
      </c>
      <c r="C32" s="13" t="s">
        <v>67</v>
      </c>
      <c r="D32" s="13" t="s">
        <v>68</v>
      </c>
      <c r="E32" s="9">
        <v>1310.36</v>
      </c>
      <c r="F32" s="9">
        <v>1310.36</v>
      </c>
      <c r="G32" s="10" t="s">
        <v>18</v>
      </c>
      <c r="H32" s="10" t="s">
        <v>18</v>
      </c>
      <c r="I32" s="11" t="s">
        <v>18</v>
      </c>
      <c r="J32" s="33">
        <f>'[2]форма 13'!$F$25/12*1000-180.203/1000</f>
        <v>0.319797</v>
      </c>
    </row>
    <row r="33" spans="1:10" ht="15">
      <c r="A33" s="12">
        <v>20</v>
      </c>
      <c r="B33" s="15" t="s">
        <v>69</v>
      </c>
      <c r="C33" s="13" t="s">
        <v>70</v>
      </c>
      <c r="D33" s="13" t="s">
        <v>71</v>
      </c>
      <c r="E33" s="9">
        <v>1310.36</v>
      </c>
      <c r="F33" s="9">
        <v>1310.36</v>
      </c>
      <c r="G33" s="10" t="s">
        <v>18</v>
      </c>
      <c r="H33" s="10" t="s">
        <v>18</v>
      </c>
      <c r="I33" s="11" t="s">
        <v>18</v>
      </c>
      <c r="J33" s="33">
        <f>('[1]форма 13'!$F$28+'[1]форма 13'!$F$29)/12*1000-8056.252/1000</f>
        <v>18.610414666666667</v>
      </c>
    </row>
    <row r="34" spans="1:10" ht="15">
      <c r="A34" s="7">
        <v>21</v>
      </c>
      <c r="B34" s="8" t="s">
        <v>72</v>
      </c>
      <c r="C34" s="13" t="s">
        <v>73</v>
      </c>
      <c r="D34" s="13" t="s">
        <v>74</v>
      </c>
      <c r="E34" s="9">
        <v>1310.36</v>
      </c>
      <c r="F34" s="9">
        <v>1310.36</v>
      </c>
      <c r="G34" s="10" t="s">
        <v>18</v>
      </c>
      <c r="H34" s="10" t="s">
        <v>18</v>
      </c>
      <c r="I34" s="11" t="s">
        <v>18</v>
      </c>
      <c r="J34" s="33">
        <f>'[2]форма 13'!$F$30/12*1000-389.658/1000</f>
        <v>0.44367533333333337</v>
      </c>
    </row>
    <row r="35" spans="1:10" ht="15">
      <c r="A35" s="12">
        <v>22</v>
      </c>
      <c r="B35" s="15" t="s">
        <v>75</v>
      </c>
      <c r="C35" s="13" t="s">
        <v>73</v>
      </c>
      <c r="D35" s="13" t="s">
        <v>76</v>
      </c>
      <c r="E35" s="9">
        <v>1310.36</v>
      </c>
      <c r="F35" s="9">
        <v>1310.36</v>
      </c>
      <c r="G35" s="10" t="s">
        <v>18</v>
      </c>
      <c r="H35" s="10" t="s">
        <v>18</v>
      </c>
      <c r="I35" s="11" t="s">
        <v>18</v>
      </c>
      <c r="J35" s="33">
        <f>'[1]форма 13'!$F$31/12*1000-109.833/1000</f>
        <v>14.681833666666666</v>
      </c>
    </row>
    <row r="36" spans="1:10" ht="15">
      <c r="A36" s="12">
        <v>23</v>
      </c>
      <c r="B36" s="8" t="s">
        <v>77</v>
      </c>
      <c r="C36" s="13" t="s">
        <v>73</v>
      </c>
      <c r="D36" s="13" t="s">
        <v>78</v>
      </c>
      <c r="E36" s="9">
        <v>1310.36</v>
      </c>
      <c r="F36" s="9">
        <v>1310.36</v>
      </c>
      <c r="G36" s="10" t="s">
        <v>18</v>
      </c>
      <c r="H36" s="10" t="s">
        <v>18</v>
      </c>
      <c r="I36" s="11" t="s">
        <v>18</v>
      </c>
      <c r="J36" s="33">
        <f>'[1]форма 13'!$F$32/12*1000-109.833/1000</f>
        <v>0.5568336666666667</v>
      </c>
    </row>
    <row r="37" spans="1:10" ht="15">
      <c r="A37" s="12">
        <v>24</v>
      </c>
      <c r="B37" s="18" t="s">
        <v>79</v>
      </c>
      <c r="C37" s="13" t="s">
        <v>73</v>
      </c>
      <c r="D37" s="13" t="s">
        <v>80</v>
      </c>
      <c r="E37" s="9">
        <v>1310.36</v>
      </c>
      <c r="F37" s="9">
        <v>1310.36</v>
      </c>
      <c r="G37" s="10" t="s">
        <v>18</v>
      </c>
      <c r="H37" s="10" t="s">
        <v>18</v>
      </c>
      <c r="I37" s="11" t="s">
        <v>18</v>
      </c>
      <c r="J37" s="33">
        <f>'[1]форма 13'!$F$33/12*1000-69.836/1000</f>
        <v>13.617664</v>
      </c>
    </row>
    <row r="38" spans="1:10" ht="15">
      <c r="A38" s="7">
        <v>25</v>
      </c>
      <c r="B38" s="8" t="s">
        <v>81</v>
      </c>
      <c r="C38" s="13" t="s">
        <v>79</v>
      </c>
      <c r="D38" s="13" t="s">
        <v>82</v>
      </c>
      <c r="E38" s="9">
        <v>1310.36</v>
      </c>
      <c r="F38" s="9">
        <v>1310.36</v>
      </c>
      <c r="G38" s="10" t="s">
        <v>18</v>
      </c>
      <c r="H38" s="10" t="s">
        <v>18</v>
      </c>
      <c r="I38" s="11" t="s">
        <v>18</v>
      </c>
      <c r="J38" s="33">
        <f>'[1]форма 13'!$F$34/12*1000-69.836/1000</f>
        <v>0.5968306666666666</v>
      </c>
    </row>
    <row r="39" spans="1:10" ht="15">
      <c r="A39" s="12">
        <v>26</v>
      </c>
      <c r="B39" s="19" t="s">
        <v>83</v>
      </c>
      <c r="C39" s="13" t="s">
        <v>84</v>
      </c>
      <c r="D39" s="13" t="s">
        <v>85</v>
      </c>
      <c r="E39" s="9">
        <v>1310.36</v>
      </c>
      <c r="F39" s="9">
        <v>1310.36</v>
      </c>
      <c r="G39" s="10" t="s">
        <v>18</v>
      </c>
      <c r="H39" s="10" t="s">
        <v>18</v>
      </c>
      <c r="I39" s="11" t="s">
        <v>18</v>
      </c>
      <c r="J39" s="33">
        <f>'[1]форма 13'!$F$26/12*1000-0/1000</f>
        <v>87.6</v>
      </c>
    </row>
    <row r="40" spans="1:10" ht="15">
      <c r="A40" s="12">
        <v>27</v>
      </c>
      <c r="B40" s="15" t="s">
        <v>86</v>
      </c>
      <c r="C40" s="13" t="s">
        <v>87</v>
      </c>
      <c r="D40" s="13" t="s">
        <v>88</v>
      </c>
      <c r="E40" s="9">
        <v>1310.36</v>
      </c>
      <c r="F40" s="9">
        <v>1310.36</v>
      </c>
      <c r="G40" s="10" t="s">
        <v>18</v>
      </c>
      <c r="H40" s="10" t="s">
        <v>18</v>
      </c>
      <c r="I40" s="11" t="s">
        <v>18</v>
      </c>
      <c r="J40" s="33">
        <f>'[1]форма 13'!$F$38/12*1000-(729.505+177.422+393.046+85.311+891.727+90.954+107.069)/1000</f>
        <v>41.524966000000006</v>
      </c>
    </row>
    <row r="41" spans="1:10" ht="15">
      <c r="A41" s="12">
        <v>28</v>
      </c>
      <c r="B41" s="14" t="s">
        <v>89</v>
      </c>
      <c r="C41" s="13" t="s">
        <v>90</v>
      </c>
      <c r="D41" s="13" t="s">
        <v>91</v>
      </c>
      <c r="E41" s="9">
        <v>1310.36</v>
      </c>
      <c r="F41" s="9">
        <v>1310.36</v>
      </c>
      <c r="G41" s="10" t="s">
        <v>18</v>
      </c>
      <c r="H41" s="10" t="s">
        <v>18</v>
      </c>
      <c r="I41" s="11" t="s">
        <v>18</v>
      </c>
      <c r="J41" s="33">
        <f>'[1]форма 13'!$F$39/12*1000-729.505/1000</f>
        <v>6.570495</v>
      </c>
    </row>
    <row r="42" spans="1:10" ht="15">
      <c r="A42" s="7">
        <v>29</v>
      </c>
      <c r="B42" s="20" t="s">
        <v>92</v>
      </c>
      <c r="C42" s="13" t="s">
        <v>90</v>
      </c>
      <c r="D42" s="13" t="s">
        <v>93</v>
      </c>
      <c r="E42" s="9">
        <v>1310.36</v>
      </c>
      <c r="F42" s="9">
        <v>1310.36</v>
      </c>
      <c r="G42" s="10" t="s">
        <v>18</v>
      </c>
      <c r="H42" s="10" t="s">
        <v>18</v>
      </c>
      <c r="I42" s="11" t="s">
        <v>18</v>
      </c>
      <c r="J42" s="33">
        <f>('[1]форма 13'!$F$40+'[1]форма 13'!$F$41)/12*1000-(729.505+177.422+393.046+85.311+891.727+90.954)/1000</f>
        <v>85.63203500000002</v>
      </c>
    </row>
    <row r="43" spans="1:10" ht="15">
      <c r="A43" s="12">
        <v>30</v>
      </c>
      <c r="B43" s="15" t="s">
        <v>93</v>
      </c>
      <c r="C43" s="13" t="s">
        <v>94</v>
      </c>
      <c r="D43" s="13" t="s">
        <v>95</v>
      </c>
      <c r="E43" s="9">
        <v>1310.36</v>
      </c>
      <c r="F43" s="9">
        <v>1310.36</v>
      </c>
      <c r="G43" s="10" t="s">
        <v>18</v>
      </c>
      <c r="H43" s="10" t="s">
        <v>18</v>
      </c>
      <c r="I43" s="11" t="s">
        <v>18</v>
      </c>
      <c r="J43" s="33">
        <f>'[1]форма 13'!$F$43/12*1000-(177.422+393.046+85.311+891.727+90.954+107.069)/1000</f>
        <v>39.92113766666667</v>
      </c>
    </row>
    <row r="44" spans="1:10" ht="15">
      <c r="A44" s="12">
        <v>31</v>
      </c>
      <c r="B44" s="8" t="s">
        <v>96</v>
      </c>
      <c r="C44" s="13" t="s">
        <v>93</v>
      </c>
      <c r="D44" s="13" t="s">
        <v>97</v>
      </c>
      <c r="E44" s="9">
        <v>1310.36</v>
      </c>
      <c r="F44" s="9">
        <v>1310.36</v>
      </c>
      <c r="G44" s="10" t="s">
        <v>18</v>
      </c>
      <c r="H44" s="10" t="s">
        <v>18</v>
      </c>
      <c r="I44" s="11" t="s">
        <v>18</v>
      </c>
      <c r="J44" s="33">
        <f>'[1]форма 13'!$F$42/12*1000-177.422/1000</f>
        <v>3.472578</v>
      </c>
    </row>
    <row r="45" spans="1:10" ht="15">
      <c r="A45" s="12">
        <v>32</v>
      </c>
      <c r="B45" s="8" t="s">
        <v>98</v>
      </c>
      <c r="C45" s="13" t="s">
        <v>93</v>
      </c>
      <c r="D45" s="13" t="s">
        <v>99</v>
      </c>
      <c r="E45" s="9">
        <v>1310.36</v>
      </c>
      <c r="F45" s="9">
        <v>1310.36</v>
      </c>
      <c r="G45" s="10" t="s">
        <v>18</v>
      </c>
      <c r="H45" s="10" t="s">
        <v>18</v>
      </c>
      <c r="I45" s="11" t="s">
        <v>18</v>
      </c>
      <c r="J45" s="33">
        <f>'[1]форма 13'!$F$44/12*1000-85.311/1000</f>
        <v>1.3746890000000003</v>
      </c>
    </row>
    <row r="46" spans="1:10" ht="15">
      <c r="A46" s="7">
        <v>33</v>
      </c>
      <c r="B46" s="8" t="s">
        <v>100</v>
      </c>
      <c r="C46" s="13" t="s">
        <v>93</v>
      </c>
      <c r="D46" s="13" t="s">
        <v>101</v>
      </c>
      <c r="E46" s="9">
        <v>1310.36</v>
      </c>
      <c r="F46" s="9">
        <v>1310.36</v>
      </c>
      <c r="G46" s="10" t="s">
        <v>18</v>
      </c>
      <c r="H46" s="10" t="s">
        <v>18</v>
      </c>
      <c r="I46" s="11" t="s">
        <v>18</v>
      </c>
      <c r="J46" s="33">
        <f>'[1]форма 13'!$F$45/12*1000-393.046/1000</f>
        <v>3.256954</v>
      </c>
    </row>
    <row r="47" spans="1:10" ht="15">
      <c r="A47" s="12">
        <v>34</v>
      </c>
      <c r="B47" s="8" t="s">
        <v>102</v>
      </c>
      <c r="C47" s="13" t="s">
        <v>93</v>
      </c>
      <c r="D47" s="13" t="s">
        <v>103</v>
      </c>
      <c r="E47" s="9">
        <v>1310.36</v>
      </c>
      <c r="F47" s="9">
        <v>1310.36</v>
      </c>
      <c r="G47" s="10" t="s">
        <v>18</v>
      </c>
      <c r="H47" s="10" t="s">
        <v>18</v>
      </c>
      <c r="I47" s="11" t="s">
        <v>18</v>
      </c>
      <c r="J47" s="33">
        <f>'[1]форма 13'!$F$46/12*1000-891.727/1000</f>
        <v>6.408272999999999</v>
      </c>
    </row>
    <row r="48" spans="1:10" ht="15">
      <c r="A48" s="12">
        <v>35</v>
      </c>
      <c r="B48" s="15" t="s">
        <v>104</v>
      </c>
      <c r="C48" s="13" t="s">
        <v>93</v>
      </c>
      <c r="D48" s="13" t="s">
        <v>105</v>
      </c>
      <c r="E48" s="9">
        <v>1310.36</v>
      </c>
      <c r="F48" s="9">
        <v>1310.36</v>
      </c>
      <c r="G48" s="10" t="s">
        <v>18</v>
      </c>
      <c r="H48" s="10" t="s">
        <v>18</v>
      </c>
      <c r="I48" s="11" t="s">
        <v>18</v>
      </c>
      <c r="J48" s="33">
        <f>'[1]форма 13'!$F$50/10*1000-107.069/1000</f>
        <v>11.692931</v>
      </c>
    </row>
    <row r="49" spans="1:10" ht="15">
      <c r="A49" s="12">
        <v>36</v>
      </c>
      <c r="B49" s="14" t="s">
        <v>105</v>
      </c>
      <c r="C49" s="13" t="s">
        <v>104</v>
      </c>
      <c r="D49" s="13" t="s">
        <v>106</v>
      </c>
      <c r="E49" s="9">
        <v>1310.36</v>
      </c>
      <c r="F49" s="9">
        <v>1310.36</v>
      </c>
      <c r="G49" s="10" t="s">
        <v>18</v>
      </c>
      <c r="H49" s="10" t="s">
        <v>18</v>
      </c>
      <c r="I49" s="11" t="s">
        <v>18</v>
      </c>
      <c r="J49" s="33">
        <f>'[1]форма 13'!$F$51/12*1000-107.069/1000</f>
        <v>1.5050143333333332</v>
      </c>
    </row>
    <row r="50" spans="1:10" ht="15">
      <c r="A50" s="7">
        <v>37</v>
      </c>
      <c r="B50" s="18" t="s">
        <v>107</v>
      </c>
      <c r="C50" s="13" t="s">
        <v>93</v>
      </c>
      <c r="D50" s="13" t="s">
        <v>108</v>
      </c>
      <c r="E50" s="9">
        <v>1310.36</v>
      </c>
      <c r="F50" s="9">
        <v>1310.36</v>
      </c>
      <c r="G50" s="10" t="s">
        <v>18</v>
      </c>
      <c r="H50" s="10" t="s">
        <v>18</v>
      </c>
      <c r="I50" s="11" t="s">
        <v>18</v>
      </c>
      <c r="J50" s="33">
        <f>'[1]форма 13'!$F$47/12*1000-90.954/1000</f>
        <v>35.54237933333333</v>
      </c>
    </row>
    <row r="51" spans="1:10" ht="15">
      <c r="A51" s="12">
        <v>38</v>
      </c>
      <c r="B51" s="21" t="s">
        <v>109</v>
      </c>
      <c r="C51" s="13" t="s">
        <v>107</v>
      </c>
      <c r="D51" s="13" t="s">
        <v>110</v>
      </c>
      <c r="E51" s="9">
        <v>1310.36</v>
      </c>
      <c r="F51" s="9">
        <v>1310.36</v>
      </c>
      <c r="G51" s="10" t="s">
        <v>18</v>
      </c>
      <c r="H51" s="10" t="s">
        <v>18</v>
      </c>
      <c r="I51" s="11" t="s">
        <v>18</v>
      </c>
      <c r="J51" s="33">
        <f>'[1]форма 13'!$F$49/12*1000-90.954/1000</f>
        <v>1.3690460000000002</v>
      </c>
    </row>
    <row r="52" spans="1:10" ht="12.75" customHeight="1">
      <c r="A52" s="39">
        <v>40</v>
      </c>
      <c r="B52" s="40" t="s">
        <v>111</v>
      </c>
      <c r="C52" s="41" t="s">
        <v>112</v>
      </c>
      <c r="D52" s="41" t="s">
        <v>113</v>
      </c>
      <c r="E52" s="42">
        <v>1978.4</v>
      </c>
      <c r="F52" s="42">
        <v>1978.4</v>
      </c>
      <c r="G52" s="43" t="s">
        <v>18</v>
      </c>
      <c r="H52" s="43" t="s">
        <v>18</v>
      </c>
      <c r="I52" s="43" t="s">
        <v>18</v>
      </c>
      <c r="J52" s="44">
        <f>'[1]форма 13'!$F$52/12*1000-1.775627</f>
        <v>10.724372999999998</v>
      </c>
    </row>
    <row r="53" spans="1:10" ht="12.75" customHeight="1">
      <c r="A53" s="24"/>
      <c r="B53" s="25" t="s">
        <v>120</v>
      </c>
      <c r="C53" s="26"/>
      <c r="D53" s="26"/>
      <c r="E53" s="27"/>
      <c r="F53" s="27"/>
      <c r="G53" s="27"/>
      <c r="H53" s="27"/>
      <c r="I53" s="27"/>
      <c r="J53" s="28"/>
    </row>
    <row r="54" spans="1:10" ht="12.75" customHeight="1">
      <c r="A54" s="29">
        <v>41</v>
      </c>
      <c r="B54" s="30" t="s">
        <v>87</v>
      </c>
      <c r="C54" s="31"/>
      <c r="D54" s="31"/>
      <c r="E54" s="9">
        <v>1310.36</v>
      </c>
      <c r="F54" s="9">
        <v>1310.36</v>
      </c>
      <c r="G54" s="10" t="s">
        <v>18</v>
      </c>
      <c r="H54" s="10" t="s">
        <v>18</v>
      </c>
      <c r="I54" s="11" t="s">
        <v>18</v>
      </c>
      <c r="J54" s="34">
        <v>0.66239344</v>
      </c>
    </row>
    <row r="55" spans="1:10" ht="12.75" customHeight="1">
      <c r="A55" s="29">
        <v>42</v>
      </c>
      <c r="B55" s="30" t="s">
        <v>121</v>
      </c>
      <c r="C55" s="31"/>
      <c r="D55" s="31"/>
      <c r="E55" s="9">
        <v>1310.36</v>
      </c>
      <c r="F55" s="9">
        <v>1310.36</v>
      </c>
      <c r="G55" s="10" t="s">
        <v>18</v>
      </c>
      <c r="H55" s="10" t="s">
        <v>18</v>
      </c>
      <c r="I55" s="11" t="s">
        <v>18</v>
      </c>
      <c r="J55" s="35">
        <v>1.40051</v>
      </c>
    </row>
    <row r="56" spans="1:10" ht="12.75" customHeight="1">
      <c r="A56" s="29">
        <v>43</v>
      </c>
      <c r="B56" s="32" t="s">
        <v>122</v>
      </c>
      <c r="C56" s="31" t="s">
        <v>123</v>
      </c>
      <c r="D56" s="31" t="s">
        <v>124</v>
      </c>
      <c r="E56" s="9">
        <v>1310.36</v>
      </c>
      <c r="F56" s="9">
        <v>1310.36</v>
      </c>
      <c r="G56" s="10" t="s">
        <v>18</v>
      </c>
      <c r="H56" s="10" t="s">
        <v>18</v>
      </c>
      <c r="I56" s="11" t="s">
        <v>18</v>
      </c>
      <c r="J56" s="35">
        <v>0.08611141</v>
      </c>
    </row>
    <row r="57" spans="1:10" ht="12.75" customHeight="1">
      <c r="A57" s="29">
        <v>44</v>
      </c>
      <c r="B57" s="32" t="s">
        <v>125</v>
      </c>
      <c r="C57" s="31" t="s">
        <v>126</v>
      </c>
      <c r="D57" s="31" t="s">
        <v>127</v>
      </c>
      <c r="E57" s="9">
        <v>1310.36</v>
      </c>
      <c r="F57" s="9">
        <v>1310.36</v>
      </c>
      <c r="G57" s="10" t="s">
        <v>18</v>
      </c>
      <c r="H57" s="10" t="s">
        <v>18</v>
      </c>
      <c r="I57" s="11" t="s">
        <v>18</v>
      </c>
      <c r="J57" s="35">
        <v>0.0002</v>
      </c>
    </row>
    <row r="58" spans="1:10" ht="12.75" customHeight="1">
      <c r="A58" s="29">
        <v>45</v>
      </c>
      <c r="B58" s="32" t="s">
        <v>128</v>
      </c>
      <c r="C58" s="31" t="s">
        <v>129</v>
      </c>
      <c r="D58" s="31" t="s">
        <v>130</v>
      </c>
      <c r="E58" s="9">
        <v>1310.36</v>
      </c>
      <c r="F58" s="9">
        <v>1310.36</v>
      </c>
      <c r="G58" s="10" t="s">
        <v>18</v>
      </c>
      <c r="H58" s="10" t="s">
        <v>18</v>
      </c>
      <c r="I58" s="11" t="s">
        <v>18</v>
      </c>
      <c r="J58" s="35">
        <v>0.0008</v>
      </c>
    </row>
    <row r="59" spans="1:10" ht="12.75" customHeight="1">
      <c r="A59" s="29">
        <v>46</v>
      </c>
      <c r="B59" s="32" t="s">
        <v>131</v>
      </c>
      <c r="C59" s="31" t="s">
        <v>132</v>
      </c>
      <c r="D59" s="31" t="s">
        <v>133</v>
      </c>
      <c r="E59" s="9">
        <v>1310.36</v>
      </c>
      <c r="F59" s="9">
        <v>1310.36</v>
      </c>
      <c r="G59" s="10" t="s">
        <v>18</v>
      </c>
      <c r="H59" s="10" t="s">
        <v>18</v>
      </c>
      <c r="I59" s="11" t="s">
        <v>18</v>
      </c>
      <c r="J59" s="35">
        <v>0.0045</v>
      </c>
    </row>
    <row r="60" spans="1:10" ht="12.75" customHeight="1">
      <c r="A60" s="29">
        <v>47</v>
      </c>
      <c r="B60" s="32" t="s">
        <v>134</v>
      </c>
      <c r="C60" s="31" t="s">
        <v>135</v>
      </c>
      <c r="D60" s="31" t="s">
        <v>136</v>
      </c>
      <c r="E60" s="9">
        <v>1310.36</v>
      </c>
      <c r="F60" s="9">
        <v>1310.36</v>
      </c>
      <c r="G60" s="10" t="s">
        <v>18</v>
      </c>
      <c r="H60" s="10" t="s">
        <v>18</v>
      </c>
      <c r="I60" s="11" t="s">
        <v>18</v>
      </c>
      <c r="J60" s="35">
        <v>0.0086</v>
      </c>
    </row>
    <row r="61" spans="1:10" ht="12.75" customHeight="1">
      <c r="A61" s="29">
        <v>48</v>
      </c>
      <c r="B61" s="32" t="s">
        <v>137</v>
      </c>
      <c r="C61" s="31" t="s">
        <v>138</v>
      </c>
      <c r="D61" s="31" t="s">
        <v>139</v>
      </c>
      <c r="E61" s="9">
        <v>1310.36</v>
      </c>
      <c r="F61" s="9">
        <v>1310.36</v>
      </c>
      <c r="G61" s="10" t="s">
        <v>18</v>
      </c>
      <c r="H61" s="10" t="s">
        <v>18</v>
      </c>
      <c r="I61" s="11" t="s">
        <v>18</v>
      </c>
      <c r="J61" s="35">
        <v>0.0008496900000000001</v>
      </c>
    </row>
    <row r="62" spans="1:10" ht="12.75" customHeight="1">
      <c r="A62" s="29">
        <v>49</v>
      </c>
      <c r="B62" s="32" t="s">
        <v>140</v>
      </c>
      <c r="C62" s="31" t="s">
        <v>141</v>
      </c>
      <c r="D62" s="31" t="s">
        <v>142</v>
      </c>
      <c r="E62" s="9">
        <v>1310.36</v>
      </c>
      <c r="F62" s="9">
        <v>1310.36</v>
      </c>
      <c r="G62" s="10" t="s">
        <v>18</v>
      </c>
      <c r="H62" s="10" t="s">
        <v>18</v>
      </c>
      <c r="I62" s="11" t="s">
        <v>18</v>
      </c>
      <c r="J62" s="35">
        <v>0.00042335</v>
      </c>
    </row>
    <row r="63" spans="1:10" ht="12.75" customHeight="1">
      <c r="A63" s="29">
        <v>50</v>
      </c>
      <c r="B63" s="32" t="s">
        <v>143</v>
      </c>
      <c r="C63" s="31" t="s">
        <v>144</v>
      </c>
      <c r="D63" s="31" t="s">
        <v>145</v>
      </c>
      <c r="E63" s="9">
        <v>1310.36</v>
      </c>
      <c r="F63" s="9">
        <v>1310.36</v>
      </c>
      <c r="G63" s="10" t="s">
        <v>18</v>
      </c>
      <c r="H63" s="10" t="s">
        <v>18</v>
      </c>
      <c r="I63" s="11" t="s">
        <v>18</v>
      </c>
      <c r="J63" s="35">
        <v>0.00088</v>
      </c>
    </row>
    <row r="64" spans="1:10" ht="12.75" customHeight="1">
      <c r="A64" s="29">
        <v>51</v>
      </c>
      <c r="B64" s="32" t="s">
        <v>146</v>
      </c>
      <c r="C64" s="31" t="s">
        <v>147</v>
      </c>
      <c r="D64" s="31" t="s">
        <v>148</v>
      </c>
      <c r="E64" s="9">
        <v>1310.36</v>
      </c>
      <c r="F64" s="9">
        <v>1310.36</v>
      </c>
      <c r="G64" s="10" t="s">
        <v>18</v>
      </c>
      <c r="H64" s="10" t="s">
        <v>18</v>
      </c>
      <c r="I64" s="11" t="s">
        <v>18</v>
      </c>
      <c r="J64" s="36">
        <v>0.00219</v>
      </c>
    </row>
    <row r="65" spans="1:10" ht="12.75" customHeight="1">
      <c r="A65" s="29">
        <v>52</v>
      </c>
      <c r="B65" s="30" t="s">
        <v>149</v>
      </c>
      <c r="C65" s="31"/>
      <c r="D65" s="31"/>
      <c r="E65" s="9"/>
      <c r="F65" s="9"/>
      <c r="G65" s="10"/>
      <c r="H65" s="10"/>
      <c r="I65" s="11"/>
      <c r="J65" s="34">
        <v>0.22478345</v>
      </c>
    </row>
    <row r="66" spans="1:10" ht="12.75" customHeight="1">
      <c r="A66" s="29">
        <v>53</v>
      </c>
      <c r="B66" s="32" t="s">
        <v>150</v>
      </c>
      <c r="C66" s="31" t="s">
        <v>151</v>
      </c>
      <c r="D66" s="31" t="s">
        <v>152</v>
      </c>
      <c r="E66" s="9">
        <v>1310.36</v>
      </c>
      <c r="F66" s="9">
        <v>1310.36</v>
      </c>
      <c r="G66" s="10" t="s">
        <v>18</v>
      </c>
      <c r="H66" s="10" t="s">
        <v>18</v>
      </c>
      <c r="I66" s="11" t="s">
        <v>18</v>
      </c>
      <c r="J66" s="36">
        <v>0.00087032</v>
      </c>
    </row>
    <row r="67" spans="1:10" ht="12.75" customHeight="1">
      <c r="A67" s="29">
        <v>54</v>
      </c>
      <c r="B67" s="32" t="s">
        <v>153</v>
      </c>
      <c r="C67" s="31" t="s">
        <v>154</v>
      </c>
      <c r="D67" s="31" t="s">
        <v>155</v>
      </c>
      <c r="E67" s="9">
        <v>1310.36</v>
      </c>
      <c r="F67" s="9">
        <v>1310.36</v>
      </c>
      <c r="G67" s="10" t="s">
        <v>18</v>
      </c>
      <c r="H67" s="10" t="s">
        <v>18</v>
      </c>
      <c r="I67" s="11" t="s">
        <v>18</v>
      </c>
      <c r="J67" s="37">
        <v>8.64E-05</v>
      </c>
    </row>
    <row r="68" spans="1:10" ht="12.75" customHeight="1">
      <c r="A68" s="29">
        <v>55</v>
      </c>
      <c r="B68" s="32" t="s">
        <v>156</v>
      </c>
      <c r="C68" s="31" t="s">
        <v>157</v>
      </c>
      <c r="D68" s="31" t="s">
        <v>158</v>
      </c>
      <c r="E68" s="9">
        <v>1310.36</v>
      </c>
      <c r="F68" s="9">
        <v>1310.36</v>
      </c>
      <c r="G68" s="10" t="s">
        <v>18</v>
      </c>
      <c r="H68" s="10" t="s">
        <v>18</v>
      </c>
      <c r="I68" s="11" t="s">
        <v>18</v>
      </c>
      <c r="J68" s="36">
        <v>0.00049595</v>
      </c>
    </row>
    <row r="69" spans="1:10" ht="12.75" customHeight="1">
      <c r="A69" s="29">
        <v>56</v>
      </c>
      <c r="B69" s="32" t="s">
        <v>159</v>
      </c>
      <c r="C69" s="31" t="s">
        <v>160</v>
      </c>
      <c r="D69" s="31" t="s">
        <v>161</v>
      </c>
      <c r="E69" s="9">
        <v>1310.36</v>
      </c>
      <c r="F69" s="9">
        <v>1310.36</v>
      </c>
      <c r="G69" s="10" t="s">
        <v>18</v>
      </c>
      <c r="H69" s="10" t="s">
        <v>18</v>
      </c>
      <c r="I69" s="11" t="s">
        <v>18</v>
      </c>
      <c r="J69" s="36">
        <v>0.00041862</v>
      </c>
    </row>
    <row r="70" spans="1:10" ht="12.75" customHeight="1">
      <c r="A70" s="29">
        <v>57</v>
      </c>
      <c r="B70" s="32" t="s">
        <v>162</v>
      </c>
      <c r="C70" s="31" t="s">
        <v>163</v>
      </c>
      <c r="D70" s="31" t="s">
        <v>164</v>
      </c>
      <c r="E70" s="9">
        <v>1310.36</v>
      </c>
      <c r="F70" s="9">
        <v>1310.36</v>
      </c>
      <c r="G70" s="10" t="s">
        <v>18</v>
      </c>
      <c r="H70" s="10" t="s">
        <v>18</v>
      </c>
      <c r="I70" s="11" t="s">
        <v>18</v>
      </c>
      <c r="J70" s="36">
        <v>0.00017276</v>
      </c>
    </row>
    <row r="71" spans="1:10" ht="12.75" customHeight="1">
      <c r="A71" s="29">
        <v>58</v>
      </c>
      <c r="B71" s="30" t="s">
        <v>165</v>
      </c>
      <c r="C71" s="31"/>
      <c r="D71" s="31"/>
      <c r="E71" s="9"/>
      <c r="F71" s="9"/>
      <c r="G71" s="10"/>
      <c r="H71" s="10"/>
      <c r="I71" s="11"/>
      <c r="J71" s="36"/>
    </row>
    <row r="72" spans="1:10" ht="12.75" customHeight="1">
      <c r="A72" s="29">
        <v>59</v>
      </c>
      <c r="B72" s="32" t="s">
        <v>166</v>
      </c>
      <c r="C72" s="31" t="s">
        <v>167</v>
      </c>
      <c r="D72" s="31" t="s">
        <v>168</v>
      </c>
      <c r="E72" s="9">
        <v>1310.36</v>
      </c>
      <c r="F72" s="9">
        <v>1310.36</v>
      </c>
      <c r="G72" s="10" t="s">
        <v>18</v>
      </c>
      <c r="H72" s="10" t="s">
        <v>18</v>
      </c>
      <c r="I72" s="11" t="s">
        <v>18</v>
      </c>
      <c r="J72" s="36">
        <v>0.00532583</v>
      </c>
    </row>
    <row r="73" spans="1:10" ht="12.75" customHeight="1">
      <c r="A73" s="29">
        <v>60</v>
      </c>
      <c r="B73" s="32" t="s">
        <v>169</v>
      </c>
      <c r="C73" s="31" t="s">
        <v>170</v>
      </c>
      <c r="D73" s="31" t="s">
        <v>171</v>
      </c>
      <c r="E73" s="9">
        <v>1310.36</v>
      </c>
      <c r="F73" s="9">
        <v>1310.36</v>
      </c>
      <c r="G73" s="10" t="s">
        <v>18</v>
      </c>
      <c r="H73" s="10" t="s">
        <v>18</v>
      </c>
      <c r="I73" s="11" t="s">
        <v>18</v>
      </c>
      <c r="J73" s="36">
        <v>0.1971173</v>
      </c>
    </row>
    <row r="74" spans="1:10" ht="12.75" customHeight="1">
      <c r="A74" s="29">
        <v>61</v>
      </c>
      <c r="B74" s="32" t="s">
        <v>172</v>
      </c>
      <c r="C74" s="31" t="s">
        <v>173</v>
      </c>
      <c r="D74" s="31" t="s">
        <v>174</v>
      </c>
      <c r="E74" s="9">
        <v>1310.36</v>
      </c>
      <c r="F74" s="9">
        <v>1310.36</v>
      </c>
      <c r="G74" s="10" t="s">
        <v>18</v>
      </c>
      <c r="H74" s="10" t="s">
        <v>18</v>
      </c>
      <c r="I74" s="11" t="s">
        <v>18</v>
      </c>
      <c r="J74" s="36">
        <v>0.0050399</v>
      </c>
    </row>
    <row r="75" spans="1:10" ht="15.75" customHeight="1">
      <c r="A75" s="1"/>
      <c r="B75" s="45" t="s">
        <v>114</v>
      </c>
      <c r="C75" s="45"/>
      <c r="D75" s="45"/>
      <c r="E75" s="45"/>
      <c r="F75" s="45"/>
      <c r="G75" s="45"/>
      <c r="H75" s="45"/>
      <c r="I75" s="45"/>
      <c r="J75" s="45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54"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A9:J9"/>
    <mergeCell ref="B75:J75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3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view="pageBreakPreview" zoomScaleSheetLayoutView="100" zoomScalePageLayoutView="0" workbookViewId="0" topLeftCell="A1">
      <selection activeCell="D57" sqref="D57"/>
    </sheetView>
  </sheetViews>
  <sheetFormatPr defaultColWidth="9.140625" defaultRowHeight="15"/>
  <cols>
    <col min="1" max="1" width="5.8515625" style="3" customWidth="1"/>
    <col min="2" max="2" width="41.8515625" style="3" customWidth="1"/>
    <col min="3" max="3" width="35.28125" style="3" customWidth="1"/>
    <col min="4" max="4" width="34.00390625" style="3" customWidth="1"/>
    <col min="5" max="5" width="17.421875" style="3" customWidth="1"/>
    <col min="6" max="6" width="16.57421875" style="3" customWidth="1"/>
    <col min="7" max="7" width="17.140625" style="3" customWidth="1"/>
    <col min="8" max="8" width="15.00390625" style="3" customWidth="1"/>
    <col min="9" max="9" width="19.421875" style="3" customWidth="1"/>
    <col min="10" max="10" width="16.8515625" style="3" customWidth="1"/>
    <col min="11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2" t="s">
        <v>2</v>
      </c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5" t="s">
        <v>3</v>
      </c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6" ht="16.5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256" ht="16.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</row>
    <row r="9" spans="1:10" ht="16.5">
      <c r="A9" s="46" t="s">
        <v>117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5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7.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</row>
    <row r="12" spans="1:10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ht="12.75">
      <c r="A13" s="22"/>
      <c r="B13" s="23" t="s">
        <v>119</v>
      </c>
      <c r="C13" s="22"/>
      <c r="D13" s="22"/>
      <c r="E13" s="22"/>
      <c r="F13" s="22"/>
      <c r="G13" s="22"/>
      <c r="H13" s="22"/>
      <c r="I13" s="22"/>
      <c r="J13" s="22"/>
    </row>
    <row r="14" spans="1:10" ht="15">
      <c r="A14" s="7">
        <v>1</v>
      </c>
      <c r="B14" s="8" t="s">
        <v>17</v>
      </c>
      <c r="C14" s="7"/>
      <c r="D14" s="7"/>
      <c r="E14" s="9">
        <v>1310.36</v>
      </c>
      <c r="F14" s="9">
        <v>1310.36</v>
      </c>
      <c r="G14" s="10" t="s">
        <v>18</v>
      </c>
      <c r="H14" s="10" t="s">
        <v>18</v>
      </c>
      <c r="I14" s="10" t="s">
        <v>18</v>
      </c>
      <c r="J14" s="38">
        <f>'[3]июль'!J13+'[3]август'!J13+'[3]сентябрь'!J13</f>
        <v>1173.380982</v>
      </c>
    </row>
    <row r="15" spans="1:10" ht="15">
      <c r="A15" s="12">
        <v>2</v>
      </c>
      <c r="B15" s="8" t="s">
        <v>19</v>
      </c>
      <c r="C15" s="13" t="s">
        <v>20</v>
      </c>
      <c r="D15" s="13" t="s">
        <v>21</v>
      </c>
      <c r="E15" s="9">
        <v>1310.36</v>
      </c>
      <c r="F15" s="9">
        <v>1310.36</v>
      </c>
      <c r="G15" s="10" t="s">
        <v>18</v>
      </c>
      <c r="H15" s="10" t="s">
        <v>18</v>
      </c>
      <c r="I15" s="10" t="s">
        <v>18</v>
      </c>
      <c r="J15" s="38">
        <f>'[3]июль'!J14+'[3]август'!J14+'[3]сентябрь'!J14</f>
        <v>1.0375990000000002</v>
      </c>
    </row>
    <row r="16" spans="1:10" ht="15">
      <c r="A16" s="12">
        <v>3</v>
      </c>
      <c r="B16" s="8" t="s">
        <v>22</v>
      </c>
      <c r="C16" s="13" t="s">
        <v>23</v>
      </c>
      <c r="D16" s="13" t="s">
        <v>24</v>
      </c>
      <c r="E16" s="9">
        <v>1310.36</v>
      </c>
      <c r="F16" s="9">
        <v>1310.36</v>
      </c>
      <c r="G16" s="10" t="s">
        <v>18</v>
      </c>
      <c r="H16" s="10" t="s">
        <v>18</v>
      </c>
      <c r="I16" s="10" t="s">
        <v>18</v>
      </c>
      <c r="J16" s="38">
        <f>'[3]июль'!J15+'[3]август'!J15+'[3]сентябрь'!J15</f>
        <v>2.6178589999999997</v>
      </c>
    </row>
    <row r="17" spans="1:10" ht="15">
      <c r="A17" s="12">
        <v>4</v>
      </c>
      <c r="B17" s="8" t="s">
        <v>25</v>
      </c>
      <c r="C17" s="13" t="s">
        <v>23</v>
      </c>
      <c r="D17" s="13" t="s">
        <v>26</v>
      </c>
      <c r="E17" s="9">
        <v>1310.36</v>
      </c>
      <c r="F17" s="9">
        <v>1310.36</v>
      </c>
      <c r="G17" s="10" t="s">
        <v>18</v>
      </c>
      <c r="H17" s="10" t="s">
        <v>18</v>
      </c>
      <c r="I17" s="10" t="s">
        <v>18</v>
      </c>
      <c r="J17" s="38">
        <f>'[3]июль'!J16+'[3]август'!J16+'[3]сентябрь'!J16</f>
        <v>2.601149</v>
      </c>
    </row>
    <row r="18" spans="1:10" ht="15">
      <c r="A18" s="7">
        <v>5</v>
      </c>
      <c r="B18" s="8" t="s">
        <v>27</v>
      </c>
      <c r="C18" s="13" t="s">
        <v>23</v>
      </c>
      <c r="D18" s="13" t="s">
        <v>28</v>
      </c>
      <c r="E18" s="9">
        <v>1310.36</v>
      </c>
      <c r="F18" s="9">
        <v>1310.36</v>
      </c>
      <c r="G18" s="10" t="s">
        <v>18</v>
      </c>
      <c r="H18" s="10" t="s">
        <v>18</v>
      </c>
      <c r="I18" s="10" t="s">
        <v>18</v>
      </c>
      <c r="J18" s="38">
        <f>'[3]июль'!J17+'[3]август'!J17+'[3]сентябрь'!J17</f>
        <v>0.847634</v>
      </c>
    </row>
    <row r="19" spans="1:10" ht="15">
      <c r="A19" s="12">
        <v>6</v>
      </c>
      <c r="B19" s="8" t="s">
        <v>29</v>
      </c>
      <c r="C19" s="13" t="s">
        <v>30</v>
      </c>
      <c r="D19" s="13" t="s">
        <v>31</v>
      </c>
      <c r="E19" s="9">
        <v>1310.36</v>
      </c>
      <c r="F19" s="9">
        <v>1310.36</v>
      </c>
      <c r="G19" s="10" t="s">
        <v>18</v>
      </c>
      <c r="H19" s="10" t="s">
        <v>18</v>
      </c>
      <c r="I19" s="10" t="s">
        <v>18</v>
      </c>
      <c r="J19" s="38">
        <f>'[3]июль'!J18+'[3]август'!J18+'[3]сентябрь'!J18</f>
        <v>0.8614</v>
      </c>
    </row>
    <row r="20" spans="1:10" ht="15">
      <c r="A20" s="12">
        <v>7</v>
      </c>
      <c r="B20" s="8" t="s">
        <v>32</v>
      </c>
      <c r="C20" s="13" t="s">
        <v>33</v>
      </c>
      <c r="D20" s="13" t="s">
        <v>34</v>
      </c>
      <c r="E20" s="9">
        <v>1310.36</v>
      </c>
      <c r="F20" s="9">
        <v>1310.36</v>
      </c>
      <c r="G20" s="10" t="s">
        <v>18</v>
      </c>
      <c r="H20" s="10" t="s">
        <v>18</v>
      </c>
      <c r="I20" s="10" t="s">
        <v>18</v>
      </c>
      <c r="J20" s="38">
        <f>'[3]июль'!J19+'[3]август'!J19+'[3]сентябрь'!J19</f>
        <v>0</v>
      </c>
    </row>
    <row r="21" spans="1:10" ht="15">
      <c r="A21" s="12">
        <v>8</v>
      </c>
      <c r="B21" s="14" t="s">
        <v>35</v>
      </c>
      <c r="C21" s="13" t="s">
        <v>36</v>
      </c>
      <c r="D21" s="13" t="s">
        <v>37</v>
      </c>
      <c r="E21" s="9">
        <v>1310.36</v>
      </c>
      <c r="F21" s="9">
        <v>1310.36</v>
      </c>
      <c r="G21" s="10" t="s">
        <v>18</v>
      </c>
      <c r="H21" s="10" t="s">
        <v>18</v>
      </c>
      <c r="I21" s="10" t="s">
        <v>18</v>
      </c>
      <c r="J21" s="38">
        <f>'[3]июль'!J20+'[3]август'!J20+'[3]сентябрь'!J20</f>
        <v>3.827884</v>
      </c>
    </row>
    <row r="22" spans="1:10" ht="15">
      <c r="A22" s="7">
        <v>9</v>
      </c>
      <c r="B22" s="15" t="s">
        <v>38</v>
      </c>
      <c r="C22" s="13" t="s">
        <v>39</v>
      </c>
      <c r="D22" s="13" t="s">
        <v>40</v>
      </c>
      <c r="E22" s="9">
        <v>1310.36</v>
      </c>
      <c r="F22" s="9">
        <v>1310.36</v>
      </c>
      <c r="G22" s="10" t="s">
        <v>18</v>
      </c>
      <c r="H22" s="10" t="s">
        <v>18</v>
      </c>
      <c r="I22" s="10" t="s">
        <v>18</v>
      </c>
      <c r="J22" s="38">
        <f>'[3]июль'!J21+'[3]август'!J21+'[3]сентябрь'!J21</f>
        <v>28.825415</v>
      </c>
    </row>
    <row r="23" spans="1:10" ht="15">
      <c r="A23" s="12">
        <v>10</v>
      </c>
      <c r="B23" s="14" t="s">
        <v>41</v>
      </c>
      <c r="C23" s="13" t="s">
        <v>42</v>
      </c>
      <c r="D23" s="13" t="s">
        <v>43</v>
      </c>
      <c r="E23" s="9">
        <v>1310.36</v>
      </c>
      <c r="F23" s="9">
        <v>1310.36</v>
      </c>
      <c r="G23" s="10" t="s">
        <v>18</v>
      </c>
      <c r="H23" s="10" t="s">
        <v>18</v>
      </c>
      <c r="I23" s="10" t="s">
        <v>18</v>
      </c>
      <c r="J23" s="38">
        <f>'[3]июль'!J22+'[3]август'!J22+'[3]сентябрь'!J22</f>
        <v>2.1060730000000003</v>
      </c>
    </row>
    <row r="24" spans="1:10" ht="15">
      <c r="A24" s="12">
        <v>11</v>
      </c>
      <c r="B24" s="14" t="s">
        <v>44</v>
      </c>
      <c r="C24" s="13" t="s">
        <v>42</v>
      </c>
      <c r="D24" s="13" t="s">
        <v>45</v>
      </c>
      <c r="E24" s="9">
        <v>1310.36</v>
      </c>
      <c r="F24" s="9">
        <v>1310.36</v>
      </c>
      <c r="G24" s="10" t="s">
        <v>18</v>
      </c>
      <c r="H24" s="10" t="s">
        <v>18</v>
      </c>
      <c r="I24" s="10" t="s">
        <v>18</v>
      </c>
      <c r="J24" s="38">
        <f>'[3]июль'!J23+'[3]август'!J23+'[3]сентябрь'!J23</f>
        <v>4.311842</v>
      </c>
    </row>
    <row r="25" spans="1:10" ht="15">
      <c r="A25" s="12">
        <v>12</v>
      </c>
      <c r="B25" s="8" t="s">
        <v>46</v>
      </c>
      <c r="C25" s="13" t="s">
        <v>47</v>
      </c>
      <c r="D25" s="13" t="s">
        <v>48</v>
      </c>
      <c r="E25" s="9">
        <v>1310.36</v>
      </c>
      <c r="F25" s="9">
        <v>1310.36</v>
      </c>
      <c r="G25" s="10" t="s">
        <v>18</v>
      </c>
      <c r="H25" s="10" t="s">
        <v>18</v>
      </c>
      <c r="I25" s="10" t="s">
        <v>18</v>
      </c>
      <c r="J25" s="38">
        <f>'[3]июль'!J24+'[3]август'!J24+'[3]сентябрь'!J24</f>
        <v>12.453938</v>
      </c>
    </row>
    <row r="26" spans="1:10" ht="15">
      <c r="A26" s="7">
        <v>13</v>
      </c>
      <c r="B26" s="8" t="s">
        <v>49</v>
      </c>
      <c r="C26" s="13" t="s">
        <v>50</v>
      </c>
      <c r="D26" s="13" t="s">
        <v>51</v>
      </c>
      <c r="E26" s="9">
        <v>1310.36</v>
      </c>
      <c r="F26" s="9">
        <v>1310.36</v>
      </c>
      <c r="G26" s="10" t="s">
        <v>18</v>
      </c>
      <c r="H26" s="10" t="s">
        <v>18</v>
      </c>
      <c r="I26" s="10" t="s">
        <v>18</v>
      </c>
      <c r="J26" s="38">
        <f>'[3]июль'!J25+'[3]август'!J25+'[3]сентябрь'!J25</f>
        <v>48.927803</v>
      </c>
    </row>
    <row r="27" spans="1:10" ht="15">
      <c r="A27" s="12">
        <v>14</v>
      </c>
      <c r="B27" s="8" t="s">
        <v>52</v>
      </c>
      <c r="C27" s="13" t="s">
        <v>53</v>
      </c>
      <c r="D27" s="13" t="s">
        <v>54</v>
      </c>
      <c r="E27" s="9">
        <v>1310.36</v>
      </c>
      <c r="F27" s="9">
        <v>1310.36</v>
      </c>
      <c r="G27" s="10" t="s">
        <v>18</v>
      </c>
      <c r="H27" s="10" t="s">
        <v>18</v>
      </c>
      <c r="I27" s="10" t="s">
        <v>18</v>
      </c>
      <c r="J27" s="38">
        <f>'[3]июль'!J26+'[3]август'!J26+'[3]сентябрь'!J26</f>
        <v>0.481456</v>
      </c>
    </row>
    <row r="28" spans="1:10" ht="15">
      <c r="A28" s="12">
        <v>15</v>
      </c>
      <c r="B28" s="16" t="s">
        <v>55</v>
      </c>
      <c r="C28" s="13" t="s">
        <v>56</v>
      </c>
      <c r="D28" s="13" t="s">
        <v>57</v>
      </c>
      <c r="E28" s="9">
        <v>1310.36</v>
      </c>
      <c r="F28" s="9">
        <v>1310.36</v>
      </c>
      <c r="G28" s="10" t="s">
        <v>18</v>
      </c>
      <c r="H28" s="10" t="s">
        <v>18</v>
      </c>
      <c r="I28" s="10" t="s">
        <v>18</v>
      </c>
      <c r="J28" s="38">
        <f>'[3]июль'!J27+'[3]август'!J27+'[3]сентябрь'!J27</f>
        <v>5.966777</v>
      </c>
    </row>
    <row r="29" spans="1:10" ht="15">
      <c r="A29" s="12">
        <v>16</v>
      </c>
      <c r="B29" s="17" t="s">
        <v>58</v>
      </c>
      <c r="C29" s="13" t="s">
        <v>59</v>
      </c>
      <c r="D29" s="13" t="s">
        <v>60</v>
      </c>
      <c r="E29" s="9">
        <v>1310.36</v>
      </c>
      <c r="F29" s="9">
        <v>1310.36</v>
      </c>
      <c r="G29" s="10" t="s">
        <v>18</v>
      </c>
      <c r="H29" s="10" t="s">
        <v>18</v>
      </c>
      <c r="I29" s="10" t="s">
        <v>18</v>
      </c>
      <c r="J29" s="38">
        <f>'[3]июль'!J28+'[3]август'!J28+'[3]сентябрь'!J28</f>
        <v>4.863317</v>
      </c>
    </row>
    <row r="30" spans="1:10" ht="15">
      <c r="A30" s="7">
        <v>17</v>
      </c>
      <c r="B30" s="17" t="s">
        <v>61</v>
      </c>
      <c r="C30" s="13" t="s">
        <v>59</v>
      </c>
      <c r="D30" s="13" t="s">
        <v>62</v>
      </c>
      <c r="E30" s="9">
        <v>1310.36</v>
      </c>
      <c r="F30" s="9">
        <v>1310.36</v>
      </c>
      <c r="G30" s="10" t="s">
        <v>18</v>
      </c>
      <c r="H30" s="10" t="s">
        <v>18</v>
      </c>
      <c r="I30" s="10" t="s">
        <v>18</v>
      </c>
      <c r="J30" s="38">
        <f>'[3]июль'!J29+'[3]август'!J29+'[3]сентябрь'!J29</f>
        <v>2.0434600000000005</v>
      </c>
    </row>
    <row r="31" spans="1:10" ht="15">
      <c r="A31" s="12">
        <v>18</v>
      </c>
      <c r="B31" s="14" t="s">
        <v>63</v>
      </c>
      <c r="C31" s="13" t="s">
        <v>64</v>
      </c>
      <c r="D31" s="13" t="s">
        <v>65</v>
      </c>
      <c r="E31" s="9">
        <v>1310.36</v>
      </c>
      <c r="F31" s="9">
        <v>1310.36</v>
      </c>
      <c r="G31" s="10" t="s">
        <v>18</v>
      </c>
      <c r="H31" s="10" t="s">
        <v>18</v>
      </c>
      <c r="I31" s="10" t="s">
        <v>18</v>
      </c>
      <c r="J31" s="38">
        <f>'[3]июль'!J30+'[3]август'!J30+'[3]сентябрь'!J30</f>
        <v>24.472669000000003</v>
      </c>
    </row>
    <row r="32" spans="1:10" ht="15">
      <c r="A32" s="12">
        <v>19</v>
      </c>
      <c r="B32" s="14" t="s">
        <v>66</v>
      </c>
      <c r="C32" s="13" t="s">
        <v>67</v>
      </c>
      <c r="D32" s="13" t="s">
        <v>68</v>
      </c>
      <c r="E32" s="9">
        <v>1310.36</v>
      </c>
      <c r="F32" s="9">
        <v>1310.36</v>
      </c>
      <c r="G32" s="10" t="s">
        <v>18</v>
      </c>
      <c r="H32" s="10" t="s">
        <v>18</v>
      </c>
      <c r="I32" s="10" t="s">
        <v>18</v>
      </c>
      <c r="J32" s="38">
        <f>'[3]июль'!J31+'[3]август'!J31+'[3]сентябрь'!J31</f>
        <v>1.286842</v>
      </c>
    </row>
    <row r="33" spans="1:10" ht="15">
      <c r="A33" s="12">
        <v>20</v>
      </c>
      <c r="B33" s="15" t="s">
        <v>69</v>
      </c>
      <c r="C33" s="13" t="s">
        <v>70</v>
      </c>
      <c r="D33" s="13" t="s">
        <v>71</v>
      </c>
      <c r="E33" s="9">
        <v>1310.36</v>
      </c>
      <c r="F33" s="9">
        <v>1310.36</v>
      </c>
      <c r="G33" s="10" t="s">
        <v>18</v>
      </c>
      <c r="H33" s="10" t="s">
        <v>18</v>
      </c>
      <c r="I33" s="10" t="s">
        <v>18</v>
      </c>
      <c r="J33" s="38">
        <f>'[3]июль'!J32+'[3]август'!J32+'[3]сентябрь'!J32</f>
        <v>65.098425</v>
      </c>
    </row>
    <row r="34" spans="1:10" ht="15">
      <c r="A34" s="7">
        <v>21</v>
      </c>
      <c r="B34" s="8" t="s">
        <v>72</v>
      </c>
      <c r="C34" s="13" t="s">
        <v>73</v>
      </c>
      <c r="D34" s="13" t="s">
        <v>74</v>
      </c>
      <c r="E34" s="9">
        <v>1310.36</v>
      </c>
      <c r="F34" s="9">
        <v>1310.36</v>
      </c>
      <c r="G34" s="10" t="s">
        <v>18</v>
      </c>
      <c r="H34" s="10" t="s">
        <v>18</v>
      </c>
      <c r="I34" s="10" t="s">
        <v>18</v>
      </c>
      <c r="J34" s="38">
        <f>'[3]июль'!J33+'[3]август'!J33+'[3]сентябрь'!J33</f>
        <v>1.8590680000000002</v>
      </c>
    </row>
    <row r="35" spans="1:10" ht="15">
      <c r="A35" s="12">
        <v>22</v>
      </c>
      <c r="B35" s="15" t="s">
        <v>75</v>
      </c>
      <c r="C35" s="13" t="s">
        <v>73</v>
      </c>
      <c r="D35" s="13" t="s">
        <v>76</v>
      </c>
      <c r="E35" s="9">
        <v>1310.36</v>
      </c>
      <c r="F35" s="9">
        <v>1310.36</v>
      </c>
      <c r="G35" s="10" t="s">
        <v>18</v>
      </c>
      <c r="H35" s="10" t="s">
        <v>18</v>
      </c>
      <c r="I35" s="10" t="s">
        <v>18</v>
      </c>
      <c r="J35" s="38">
        <f>'[3]июль'!J34+'[3]август'!J34+'[3]сентябрь'!J34</f>
        <v>44.19238</v>
      </c>
    </row>
    <row r="36" spans="1:10" ht="15">
      <c r="A36" s="12">
        <v>23</v>
      </c>
      <c r="B36" s="8" t="s">
        <v>77</v>
      </c>
      <c r="C36" s="13" t="s">
        <v>73</v>
      </c>
      <c r="D36" s="13" t="s">
        <v>78</v>
      </c>
      <c r="E36" s="9">
        <v>1310.36</v>
      </c>
      <c r="F36" s="9">
        <v>1310.36</v>
      </c>
      <c r="G36" s="10" t="s">
        <v>18</v>
      </c>
      <c r="H36" s="10" t="s">
        <v>18</v>
      </c>
      <c r="I36" s="10" t="s">
        <v>18</v>
      </c>
      <c r="J36" s="38">
        <f>'[3]июль'!J35+'[3]август'!J35+'[3]сентябрь'!J35</f>
        <v>1.8173799999999998</v>
      </c>
    </row>
    <row r="37" spans="1:10" ht="15">
      <c r="A37" s="12">
        <v>24</v>
      </c>
      <c r="B37" s="18" t="s">
        <v>79</v>
      </c>
      <c r="C37" s="13" t="s">
        <v>73</v>
      </c>
      <c r="D37" s="13" t="s">
        <v>80</v>
      </c>
      <c r="E37" s="9">
        <v>1310.36</v>
      </c>
      <c r="F37" s="9">
        <v>1310.36</v>
      </c>
      <c r="G37" s="10" t="s">
        <v>18</v>
      </c>
      <c r="H37" s="10" t="s">
        <v>18</v>
      </c>
      <c r="I37" s="10" t="s">
        <v>18</v>
      </c>
      <c r="J37" s="38">
        <f>'[3]июль'!J36+'[3]август'!J36+'[3]сентябрь'!J36</f>
        <v>40.956109999999995</v>
      </c>
    </row>
    <row r="38" spans="1:10" ht="15">
      <c r="A38" s="7">
        <v>25</v>
      </c>
      <c r="B38" s="8" t="s">
        <v>81</v>
      </c>
      <c r="C38" s="13" t="s">
        <v>79</v>
      </c>
      <c r="D38" s="13" t="s">
        <v>82</v>
      </c>
      <c r="E38" s="9">
        <v>1310.36</v>
      </c>
      <c r="F38" s="9">
        <v>1310.36</v>
      </c>
      <c r="G38" s="10" t="s">
        <v>18</v>
      </c>
      <c r="H38" s="10" t="s">
        <v>18</v>
      </c>
      <c r="I38" s="10" t="s">
        <v>18</v>
      </c>
      <c r="J38" s="38">
        <f>'[3]июль'!J37+'[3]август'!J37+'[3]сентябрь'!J37</f>
        <v>1.9090639999999999</v>
      </c>
    </row>
    <row r="39" spans="1:10" ht="15">
      <c r="A39" s="12">
        <v>26</v>
      </c>
      <c r="B39" s="19" t="s">
        <v>83</v>
      </c>
      <c r="C39" s="13" t="s">
        <v>84</v>
      </c>
      <c r="D39" s="13" t="s">
        <v>85</v>
      </c>
      <c r="E39" s="9">
        <v>1310.36</v>
      </c>
      <c r="F39" s="9">
        <v>1310.36</v>
      </c>
      <c r="G39" s="10" t="s">
        <v>18</v>
      </c>
      <c r="H39" s="10" t="s">
        <v>18</v>
      </c>
      <c r="I39" s="10" t="s">
        <v>18</v>
      </c>
      <c r="J39" s="38">
        <f>'[3]июль'!J38+'[3]август'!J38+'[3]сентябрь'!J38</f>
        <v>262.79999999999995</v>
      </c>
    </row>
    <row r="40" spans="1:10" ht="15">
      <c r="A40" s="12">
        <v>27</v>
      </c>
      <c r="B40" s="15" t="s">
        <v>86</v>
      </c>
      <c r="C40" s="13" t="s">
        <v>87</v>
      </c>
      <c r="D40" s="13" t="s">
        <v>88</v>
      </c>
      <c r="E40" s="9">
        <v>1310.36</v>
      </c>
      <c r="F40" s="9">
        <v>1310.36</v>
      </c>
      <c r="G40" s="10" t="s">
        <v>18</v>
      </c>
      <c r="H40" s="10" t="s">
        <v>18</v>
      </c>
      <c r="I40" s="10" t="s">
        <v>18</v>
      </c>
      <c r="J40" s="38">
        <f>'[3]июль'!J39+'[3]август'!J39+'[3]сентябрь'!J39</f>
        <v>128.532878</v>
      </c>
    </row>
    <row r="41" spans="1:10" ht="15">
      <c r="A41" s="12">
        <v>28</v>
      </c>
      <c r="B41" s="14" t="s">
        <v>89</v>
      </c>
      <c r="C41" s="13" t="s">
        <v>90</v>
      </c>
      <c r="D41" s="13" t="s">
        <v>91</v>
      </c>
      <c r="E41" s="9">
        <v>1310.36</v>
      </c>
      <c r="F41" s="9">
        <v>1310.36</v>
      </c>
      <c r="G41" s="10" t="s">
        <v>18</v>
      </c>
      <c r="H41" s="10" t="s">
        <v>18</v>
      </c>
      <c r="I41" s="10" t="s">
        <v>18</v>
      </c>
      <c r="J41" s="38">
        <f>'[3]июль'!J40+'[3]август'!J40+'[3]сентябрь'!J40</f>
        <v>20.881918</v>
      </c>
    </row>
    <row r="42" spans="1:10" ht="15">
      <c r="A42" s="7">
        <v>29</v>
      </c>
      <c r="B42" s="20" t="s">
        <v>92</v>
      </c>
      <c r="C42" s="13" t="s">
        <v>90</v>
      </c>
      <c r="D42" s="13" t="s">
        <v>93</v>
      </c>
      <c r="E42" s="9">
        <v>1310.36</v>
      </c>
      <c r="F42" s="9">
        <v>1310.36</v>
      </c>
      <c r="G42" s="10" t="s">
        <v>18</v>
      </c>
      <c r="H42" s="10" t="s">
        <v>18</v>
      </c>
      <c r="I42" s="10" t="s">
        <v>18</v>
      </c>
      <c r="J42" s="38">
        <f>'[3]июль'!J41+'[3]август'!J41+'[3]сентябрь'!J41</f>
        <v>260.67158800000004</v>
      </c>
    </row>
    <row r="43" spans="1:10" ht="15">
      <c r="A43" s="12">
        <v>30</v>
      </c>
      <c r="B43" s="15" t="s">
        <v>93</v>
      </c>
      <c r="C43" s="13" t="s">
        <v>94</v>
      </c>
      <c r="D43" s="13" t="s">
        <v>95</v>
      </c>
      <c r="E43" s="9">
        <v>1310.36</v>
      </c>
      <c r="F43" s="9">
        <v>1310.36</v>
      </c>
      <c r="G43" s="10" t="s">
        <v>18</v>
      </c>
      <c r="H43" s="10" t="s">
        <v>18</v>
      </c>
      <c r="I43" s="10" t="s">
        <v>18</v>
      </c>
      <c r="J43" s="38">
        <f>'[3]июль'!J42+'[3]август'!J42+'[3]сентябрь'!J42</f>
        <v>122.55095999999999</v>
      </c>
    </row>
    <row r="44" spans="1:10" ht="15">
      <c r="A44" s="12">
        <v>31</v>
      </c>
      <c r="B44" s="8" t="s">
        <v>96</v>
      </c>
      <c r="C44" s="13" t="s">
        <v>93</v>
      </c>
      <c r="D44" s="13" t="s">
        <v>97</v>
      </c>
      <c r="E44" s="9">
        <v>1310.36</v>
      </c>
      <c r="F44" s="9">
        <v>1310.36</v>
      </c>
      <c r="G44" s="10" t="s">
        <v>18</v>
      </c>
      <c r="H44" s="10" t="s">
        <v>18</v>
      </c>
      <c r="I44" s="10" t="s">
        <v>18</v>
      </c>
      <c r="J44" s="38">
        <f>'[3]июль'!J43+'[3]август'!J43+'[3]сентябрь'!J43</f>
        <v>10.675238</v>
      </c>
    </row>
    <row r="45" spans="1:10" ht="15">
      <c r="A45" s="12">
        <v>32</v>
      </c>
      <c r="B45" s="8" t="s">
        <v>98</v>
      </c>
      <c r="C45" s="13" t="s">
        <v>93</v>
      </c>
      <c r="D45" s="13" t="s">
        <v>99</v>
      </c>
      <c r="E45" s="9">
        <v>1310.36</v>
      </c>
      <c r="F45" s="9">
        <v>1310.36</v>
      </c>
      <c r="G45" s="10" t="s">
        <v>18</v>
      </c>
      <c r="H45" s="10" t="s">
        <v>18</v>
      </c>
      <c r="I45" s="10" t="s">
        <v>18</v>
      </c>
      <c r="J45" s="38">
        <f>'[3]июль'!J44+'[3]август'!J44+'[3]сентябрь'!J44</f>
        <v>4.245565000000001</v>
      </c>
    </row>
    <row r="46" spans="1:10" ht="15">
      <c r="A46" s="7">
        <v>33</v>
      </c>
      <c r="B46" s="8" t="s">
        <v>100</v>
      </c>
      <c r="C46" s="13" t="s">
        <v>93</v>
      </c>
      <c r="D46" s="13" t="s">
        <v>101</v>
      </c>
      <c r="E46" s="9">
        <v>1310.36</v>
      </c>
      <c r="F46" s="9">
        <v>1310.36</v>
      </c>
      <c r="G46" s="10" t="s">
        <v>18</v>
      </c>
      <c r="H46" s="10" t="s">
        <v>18</v>
      </c>
      <c r="I46" s="10" t="s">
        <v>18</v>
      </c>
      <c r="J46" s="38">
        <f>'[3]июль'!J45+'[3]август'!J45+'[3]сентябрь'!J45</f>
        <v>10.440666</v>
      </c>
    </row>
    <row r="47" spans="1:10" ht="15">
      <c r="A47" s="12">
        <v>34</v>
      </c>
      <c r="B47" s="8" t="s">
        <v>118</v>
      </c>
      <c r="C47" s="13" t="s">
        <v>93</v>
      </c>
      <c r="D47" s="13" t="s">
        <v>103</v>
      </c>
      <c r="E47" s="9">
        <v>1310.36</v>
      </c>
      <c r="F47" s="9">
        <v>1310.36</v>
      </c>
      <c r="G47" s="10" t="s">
        <v>18</v>
      </c>
      <c r="H47" s="10" t="s">
        <v>18</v>
      </c>
      <c r="I47" s="10" t="s">
        <v>18</v>
      </c>
      <c r="J47" s="38">
        <f>'[3]июль'!J46+'[3]август'!J46+'[3]сентябрь'!J46</f>
        <v>20.650033</v>
      </c>
    </row>
    <row r="48" spans="1:10" ht="15">
      <c r="A48" s="12">
        <v>35</v>
      </c>
      <c r="B48" s="15" t="s">
        <v>104</v>
      </c>
      <c r="C48" s="13" t="s">
        <v>93</v>
      </c>
      <c r="D48" s="13" t="s">
        <v>105</v>
      </c>
      <c r="E48" s="9">
        <v>1310.36</v>
      </c>
      <c r="F48" s="9">
        <v>1310.36</v>
      </c>
      <c r="G48" s="10" t="s">
        <v>18</v>
      </c>
      <c r="H48" s="10" t="s">
        <v>18</v>
      </c>
      <c r="I48" s="10" t="s">
        <v>18</v>
      </c>
      <c r="J48" s="38">
        <f>'[3]июль'!J47+'[3]август'!J47+'[3]сентябрь'!J47</f>
        <v>35.26129</v>
      </c>
    </row>
    <row r="49" spans="1:10" ht="15">
      <c r="A49" s="12">
        <v>36</v>
      </c>
      <c r="B49" s="14" t="s">
        <v>105</v>
      </c>
      <c r="C49" s="13" t="s">
        <v>104</v>
      </c>
      <c r="D49" s="13" t="s">
        <v>106</v>
      </c>
      <c r="E49" s="9">
        <v>1310.36</v>
      </c>
      <c r="F49" s="9">
        <v>1310.36</v>
      </c>
      <c r="G49" s="10" t="s">
        <v>18</v>
      </c>
      <c r="H49" s="10" t="s">
        <v>18</v>
      </c>
      <c r="I49" s="10" t="s">
        <v>18</v>
      </c>
      <c r="J49" s="38">
        <f>'[3]июль'!J48+'[3]август'!J48+'[3]сентябрь'!J48</f>
        <v>4.69754</v>
      </c>
    </row>
    <row r="50" spans="1:10" ht="15">
      <c r="A50" s="7">
        <v>37</v>
      </c>
      <c r="B50" s="18" t="s">
        <v>107</v>
      </c>
      <c r="C50" s="13" t="s">
        <v>93</v>
      </c>
      <c r="D50" s="13" t="s">
        <v>108</v>
      </c>
      <c r="E50" s="9">
        <v>1310.36</v>
      </c>
      <c r="F50" s="9">
        <v>1310.36</v>
      </c>
      <c r="G50" s="10" t="s">
        <v>18</v>
      </c>
      <c r="H50" s="10" t="s">
        <v>18</v>
      </c>
      <c r="I50" s="10" t="s">
        <v>18</v>
      </c>
      <c r="J50" s="38">
        <f>'[3]июль'!J49+'[3]август'!J49+'[3]сентябрь'!J49</f>
        <v>106.758168</v>
      </c>
    </row>
    <row r="51" spans="1:10" ht="15">
      <c r="A51" s="12">
        <v>38</v>
      </c>
      <c r="B51" s="21" t="s">
        <v>109</v>
      </c>
      <c r="C51" s="13" t="s">
        <v>107</v>
      </c>
      <c r="D51" s="13" t="s">
        <v>110</v>
      </c>
      <c r="E51" s="9">
        <v>1310.36</v>
      </c>
      <c r="F51" s="9">
        <v>1310.36</v>
      </c>
      <c r="G51" s="10" t="s">
        <v>18</v>
      </c>
      <c r="H51" s="10" t="s">
        <v>18</v>
      </c>
      <c r="I51" s="10" t="s">
        <v>18</v>
      </c>
      <c r="J51" s="38">
        <f>'[3]июль'!J50+'[3]август'!J50+'[3]сентябрь'!J50</f>
        <v>4.238168000000001</v>
      </c>
    </row>
    <row r="52" spans="1:10" ht="12.75" customHeight="1">
      <c r="A52" s="39">
        <v>40</v>
      </c>
      <c r="B52" s="40" t="s">
        <v>111</v>
      </c>
      <c r="C52" s="41" t="s">
        <v>112</v>
      </c>
      <c r="D52" s="41" t="s">
        <v>113</v>
      </c>
      <c r="E52" s="42">
        <v>1978.4</v>
      </c>
      <c r="F52" s="42">
        <v>1978.4</v>
      </c>
      <c r="G52" s="43" t="s">
        <v>18</v>
      </c>
      <c r="H52" s="43" t="s">
        <v>18</v>
      </c>
      <c r="I52" s="43" t="s">
        <v>18</v>
      </c>
      <c r="J52" s="44">
        <f>'[3]июль'!J51+'[3]август'!J51+'[3]сентябрь'!J51</f>
        <v>34.74675</v>
      </c>
    </row>
    <row r="53" spans="1:10" ht="12.75" customHeight="1">
      <c r="A53" s="24"/>
      <c r="B53" s="25" t="s">
        <v>120</v>
      </c>
      <c r="C53" s="26"/>
      <c r="D53" s="26"/>
      <c r="E53" s="27"/>
      <c r="F53" s="27"/>
      <c r="G53" s="27"/>
      <c r="H53" s="27"/>
      <c r="I53" s="27"/>
      <c r="J53" s="28"/>
    </row>
    <row r="54" spans="1:10" ht="12.75" customHeight="1">
      <c r="A54" s="29">
        <v>41</v>
      </c>
      <c r="B54" s="30" t="s">
        <v>87</v>
      </c>
      <c r="C54" s="31"/>
      <c r="D54" s="31"/>
      <c r="E54" s="9">
        <v>1310.36</v>
      </c>
      <c r="F54" s="9">
        <v>1310.36</v>
      </c>
      <c r="G54" s="10" t="s">
        <v>18</v>
      </c>
      <c r="H54" s="10" t="s">
        <v>18</v>
      </c>
      <c r="I54" s="10" t="s">
        <v>18</v>
      </c>
      <c r="J54" s="34">
        <v>2.06187316</v>
      </c>
    </row>
    <row r="55" spans="1:10" ht="12.75" customHeight="1">
      <c r="A55" s="29">
        <v>42</v>
      </c>
      <c r="B55" s="30" t="s">
        <v>121</v>
      </c>
      <c r="C55" s="31"/>
      <c r="D55" s="31"/>
      <c r="E55" s="9">
        <v>1310.36</v>
      </c>
      <c r="F55" s="9">
        <v>1310.36</v>
      </c>
      <c r="G55" s="10" t="s">
        <v>18</v>
      </c>
      <c r="H55" s="10" t="s">
        <v>18</v>
      </c>
      <c r="I55" s="10" t="s">
        <v>18</v>
      </c>
      <c r="J55" s="35">
        <v>4.317039</v>
      </c>
    </row>
    <row r="56" spans="1:10" ht="12.75" customHeight="1">
      <c r="A56" s="29">
        <v>43</v>
      </c>
      <c r="B56" s="32" t="s">
        <v>122</v>
      </c>
      <c r="C56" s="31" t="s">
        <v>123</v>
      </c>
      <c r="D56" s="31" t="s">
        <v>124</v>
      </c>
      <c r="E56" s="9">
        <v>1310.36</v>
      </c>
      <c r="F56" s="9">
        <v>1310.36</v>
      </c>
      <c r="G56" s="10" t="s">
        <v>18</v>
      </c>
      <c r="H56" s="10" t="s">
        <v>18</v>
      </c>
      <c r="I56" s="10" t="s">
        <v>18</v>
      </c>
      <c r="J56" s="35">
        <v>0.25928472999999996</v>
      </c>
    </row>
    <row r="57" spans="1:10" ht="12.75" customHeight="1">
      <c r="A57" s="29">
        <v>44</v>
      </c>
      <c r="B57" s="32" t="s">
        <v>125</v>
      </c>
      <c r="C57" s="31" t="s">
        <v>126</v>
      </c>
      <c r="D57" s="31" t="s">
        <v>127</v>
      </c>
      <c r="E57" s="9">
        <v>1310.36</v>
      </c>
      <c r="F57" s="9">
        <v>1310.36</v>
      </c>
      <c r="G57" s="10" t="s">
        <v>18</v>
      </c>
      <c r="H57" s="10" t="s">
        <v>18</v>
      </c>
      <c r="I57" s="10" t="s">
        <v>18</v>
      </c>
      <c r="J57" s="35">
        <v>0.0006000000000000001</v>
      </c>
    </row>
    <row r="58" spans="1:10" ht="12.75" customHeight="1">
      <c r="A58" s="29">
        <v>45</v>
      </c>
      <c r="B58" s="32" t="s">
        <v>128</v>
      </c>
      <c r="C58" s="31" t="s">
        <v>129</v>
      </c>
      <c r="D58" s="31" t="s">
        <v>130</v>
      </c>
      <c r="E58" s="9">
        <v>1310.36</v>
      </c>
      <c r="F58" s="9">
        <v>1310.36</v>
      </c>
      <c r="G58" s="10" t="s">
        <v>18</v>
      </c>
      <c r="H58" s="10" t="s">
        <v>18</v>
      </c>
      <c r="I58" s="10" t="s">
        <v>18</v>
      </c>
      <c r="J58" s="35">
        <v>0.0025</v>
      </c>
    </row>
    <row r="59" spans="1:10" ht="12.75" customHeight="1">
      <c r="A59" s="29">
        <v>46</v>
      </c>
      <c r="B59" s="32" t="s">
        <v>131</v>
      </c>
      <c r="C59" s="31" t="s">
        <v>132</v>
      </c>
      <c r="D59" s="31" t="s">
        <v>133</v>
      </c>
      <c r="E59" s="9">
        <v>1310.36</v>
      </c>
      <c r="F59" s="9">
        <v>1310.36</v>
      </c>
      <c r="G59" s="10" t="s">
        <v>18</v>
      </c>
      <c r="H59" s="10" t="s">
        <v>18</v>
      </c>
      <c r="I59" s="10" t="s">
        <v>18</v>
      </c>
      <c r="J59" s="35">
        <v>0.014288660000000002</v>
      </c>
    </row>
    <row r="60" spans="1:10" ht="12.75" customHeight="1">
      <c r="A60" s="29">
        <v>47</v>
      </c>
      <c r="B60" s="32" t="s">
        <v>134</v>
      </c>
      <c r="C60" s="31" t="s">
        <v>135</v>
      </c>
      <c r="D60" s="31" t="s">
        <v>136</v>
      </c>
      <c r="E60" s="9">
        <v>1310.36</v>
      </c>
      <c r="F60" s="9">
        <v>1310.36</v>
      </c>
      <c r="G60" s="10" t="s">
        <v>18</v>
      </c>
      <c r="H60" s="10" t="s">
        <v>18</v>
      </c>
      <c r="I60" s="10" t="s">
        <v>18</v>
      </c>
      <c r="J60" s="35">
        <v>0.026</v>
      </c>
    </row>
    <row r="61" spans="1:10" ht="12.75" customHeight="1">
      <c r="A61" s="29">
        <v>48</v>
      </c>
      <c r="B61" s="32" t="s">
        <v>137</v>
      </c>
      <c r="C61" s="31" t="s">
        <v>138</v>
      </c>
      <c r="D61" s="31" t="s">
        <v>139</v>
      </c>
      <c r="E61" s="9">
        <v>1310.36</v>
      </c>
      <c r="F61" s="9">
        <v>1310.36</v>
      </c>
      <c r="G61" s="10" t="s">
        <v>18</v>
      </c>
      <c r="H61" s="10" t="s">
        <v>18</v>
      </c>
      <c r="I61" s="10" t="s">
        <v>18</v>
      </c>
      <c r="J61" s="35">
        <v>0.00255169</v>
      </c>
    </row>
    <row r="62" spans="1:10" ht="12.75" customHeight="1">
      <c r="A62" s="29">
        <v>49</v>
      </c>
      <c r="B62" s="32" t="s">
        <v>140</v>
      </c>
      <c r="C62" s="31" t="s">
        <v>141</v>
      </c>
      <c r="D62" s="31" t="s">
        <v>142</v>
      </c>
      <c r="E62" s="9">
        <v>1310.36</v>
      </c>
      <c r="F62" s="9">
        <v>1310.36</v>
      </c>
      <c r="G62" s="10" t="s">
        <v>18</v>
      </c>
      <c r="H62" s="10" t="s">
        <v>18</v>
      </c>
      <c r="I62" s="10" t="s">
        <v>18</v>
      </c>
      <c r="J62" s="35">
        <v>0.0012777700000000001</v>
      </c>
    </row>
    <row r="63" spans="1:10" ht="12.75" customHeight="1">
      <c r="A63" s="29">
        <v>50</v>
      </c>
      <c r="B63" s="32" t="s">
        <v>143</v>
      </c>
      <c r="C63" s="31" t="s">
        <v>144</v>
      </c>
      <c r="D63" s="31" t="s">
        <v>145</v>
      </c>
      <c r="E63" s="9">
        <v>1310.36</v>
      </c>
      <c r="F63" s="9">
        <v>1310.36</v>
      </c>
      <c r="G63" s="10" t="s">
        <v>18</v>
      </c>
      <c r="H63" s="10" t="s">
        <v>18</v>
      </c>
      <c r="I63" s="10" t="s">
        <v>18</v>
      </c>
      <c r="J63" s="35">
        <v>0.00267119</v>
      </c>
    </row>
    <row r="64" spans="1:10" ht="12.75" customHeight="1">
      <c r="A64" s="29">
        <v>51</v>
      </c>
      <c r="B64" s="32" t="s">
        <v>146</v>
      </c>
      <c r="C64" s="31" t="s">
        <v>147</v>
      </c>
      <c r="D64" s="31" t="s">
        <v>148</v>
      </c>
      <c r="E64" s="9">
        <v>1310.36</v>
      </c>
      <c r="F64" s="9">
        <v>1310.36</v>
      </c>
      <c r="G64" s="10" t="s">
        <v>18</v>
      </c>
      <c r="H64" s="10" t="s">
        <v>18</v>
      </c>
      <c r="I64" s="10" t="s">
        <v>18</v>
      </c>
      <c r="J64" s="36">
        <v>0.00666</v>
      </c>
    </row>
    <row r="65" spans="1:10" ht="12.75" customHeight="1">
      <c r="A65" s="29">
        <v>52</v>
      </c>
      <c r="B65" s="30" t="s">
        <v>149</v>
      </c>
      <c r="C65" s="31"/>
      <c r="D65" s="31"/>
      <c r="E65" s="9"/>
      <c r="F65" s="9"/>
      <c r="G65" s="10"/>
      <c r="H65" s="10"/>
      <c r="I65" s="10"/>
      <c r="J65" s="34">
        <v>0.67936592</v>
      </c>
    </row>
    <row r="66" spans="1:10" ht="12.75" customHeight="1">
      <c r="A66" s="29">
        <v>53</v>
      </c>
      <c r="B66" s="32" t="s">
        <v>150</v>
      </c>
      <c r="C66" s="31" t="s">
        <v>151</v>
      </c>
      <c r="D66" s="31" t="s">
        <v>152</v>
      </c>
      <c r="E66" s="9">
        <v>1310.36</v>
      </c>
      <c r="F66" s="9">
        <v>1310.36</v>
      </c>
      <c r="G66" s="10" t="s">
        <v>18</v>
      </c>
      <c r="H66" s="10" t="s">
        <v>18</v>
      </c>
      <c r="I66" s="10" t="s">
        <v>18</v>
      </c>
      <c r="J66" s="36">
        <v>0.00261562</v>
      </c>
    </row>
    <row r="67" spans="1:10" ht="12.75" customHeight="1">
      <c r="A67" s="29">
        <v>54</v>
      </c>
      <c r="B67" s="32" t="s">
        <v>153</v>
      </c>
      <c r="C67" s="31" t="s">
        <v>154</v>
      </c>
      <c r="D67" s="31" t="s">
        <v>155</v>
      </c>
      <c r="E67" s="9">
        <v>1310.36</v>
      </c>
      <c r="F67" s="9">
        <v>1310.36</v>
      </c>
      <c r="G67" s="10" t="s">
        <v>18</v>
      </c>
      <c r="H67" s="10" t="s">
        <v>18</v>
      </c>
      <c r="I67" s="10" t="s">
        <v>18</v>
      </c>
      <c r="J67" s="37">
        <v>0.0002592</v>
      </c>
    </row>
    <row r="68" spans="1:10" ht="12.75" customHeight="1">
      <c r="A68" s="29">
        <v>55</v>
      </c>
      <c r="B68" s="32" t="s">
        <v>156</v>
      </c>
      <c r="C68" s="31" t="s">
        <v>157</v>
      </c>
      <c r="D68" s="31" t="s">
        <v>158</v>
      </c>
      <c r="E68" s="9">
        <v>1310.36</v>
      </c>
      <c r="F68" s="9">
        <v>1310.36</v>
      </c>
      <c r="G68" s="10" t="s">
        <v>18</v>
      </c>
      <c r="H68" s="10" t="s">
        <v>18</v>
      </c>
      <c r="I68" s="10" t="s">
        <v>18</v>
      </c>
      <c r="J68" s="36">
        <v>0.00149872</v>
      </c>
    </row>
    <row r="69" spans="1:10" ht="12.75" customHeight="1">
      <c r="A69" s="29">
        <v>56</v>
      </c>
      <c r="B69" s="32" t="s">
        <v>159</v>
      </c>
      <c r="C69" s="31" t="s">
        <v>160</v>
      </c>
      <c r="D69" s="31" t="s">
        <v>161</v>
      </c>
      <c r="E69" s="9">
        <v>1310.36</v>
      </c>
      <c r="F69" s="9">
        <v>1310.36</v>
      </c>
      <c r="G69" s="10" t="s">
        <v>18</v>
      </c>
      <c r="H69" s="10" t="s">
        <v>18</v>
      </c>
      <c r="I69" s="10" t="s">
        <v>18</v>
      </c>
      <c r="J69" s="36">
        <v>0.00126472</v>
      </c>
    </row>
    <row r="70" spans="1:10" ht="12.75" customHeight="1">
      <c r="A70" s="29">
        <v>57</v>
      </c>
      <c r="B70" s="32" t="s">
        <v>162</v>
      </c>
      <c r="C70" s="31" t="s">
        <v>163</v>
      </c>
      <c r="D70" s="31" t="s">
        <v>164</v>
      </c>
      <c r="E70" s="9">
        <v>1310.36</v>
      </c>
      <c r="F70" s="9">
        <v>1310.36</v>
      </c>
      <c r="G70" s="10" t="s">
        <v>18</v>
      </c>
      <c r="H70" s="10" t="s">
        <v>18</v>
      </c>
      <c r="I70" s="10" t="s">
        <v>18</v>
      </c>
      <c r="J70" s="36">
        <v>0.00052682</v>
      </c>
    </row>
    <row r="71" spans="1:10" ht="12.75" customHeight="1">
      <c r="A71" s="29">
        <v>58</v>
      </c>
      <c r="B71" s="30" t="s">
        <v>165</v>
      </c>
      <c r="C71" s="31"/>
      <c r="D71" s="31"/>
      <c r="E71" s="9"/>
      <c r="F71" s="9"/>
      <c r="G71" s="10"/>
      <c r="H71" s="10"/>
      <c r="I71" s="10"/>
      <c r="J71" s="36">
        <v>0</v>
      </c>
    </row>
    <row r="72" spans="1:10" ht="12.75" customHeight="1">
      <c r="A72" s="29">
        <v>59</v>
      </c>
      <c r="B72" s="32" t="s">
        <v>166</v>
      </c>
      <c r="C72" s="31" t="s">
        <v>167</v>
      </c>
      <c r="D72" s="31" t="s">
        <v>168</v>
      </c>
      <c r="E72" s="9">
        <v>1310.36</v>
      </c>
      <c r="F72" s="9">
        <v>1310.36</v>
      </c>
      <c r="G72" s="10" t="s">
        <v>18</v>
      </c>
      <c r="H72" s="10" t="s">
        <v>18</v>
      </c>
      <c r="I72" s="10" t="s">
        <v>18</v>
      </c>
      <c r="J72" s="36">
        <v>0.01577083</v>
      </c>
    </row>
    <row r="73" spans="1:10" ht="12.75" customHeight="1">
      <c r="A73" s="29">
        <v>60</v>
      </c>
      <c r="B73" s="32" t="s">
        <v>169</v>
      </c>
      <c r="C73" s="31" t="s">
        <v>170</v>
      </c>
      <c r="D73" s="31" t="s">
        <v>171</v>
      </c>
      <c r="E73" s="9">
        <v>1310.36</v>
      </c>
      <c r="F73" s="9">
        <v>1310.36</v>
      </c>
      <c r="G73" s="10" t="s">
        <v>18</v>
      </c>
      <c r="H73" s="10" t="s">
        <v>18</v>
      </c>
      <c r="I73" s="10" t="s">
        <v>18</v>
      </c>
      <c r="J73" s="36">
        <v>0.23671504999999998</v>
      </c>
    </row>
    <row r="74" spans="1:10" ht="12.75" customHeight="1">
      <c r="A74" s="29">
        <v>61</v>
      </c>
      <c r="B74" s="32" t="s">
        <v>172</v>
      </c>
      <c r="C74" s="31" t="s">
        <v>173</v>
      </c>
      <c r="D74" s="31" t="s">
        <v>174</v>
      </c>
      <c r="E74" s="9">
        <v>1310.36</v>
      </c>
      <c r="F74" s="9">
        <v>1310.36</v>
      </c>
      <c r="G74" s="10" t="s">
        <v>18</v>
      </c>
      <c r="H74" s="10" t="s">
        <v>18</v>
      </c>
      <c r="I74" s="10" t="s">
        <v>18</v>
      </c>
      <c r="J74" s="36">
        <v>0.01526105</v>
      </c>
    </row>
    <row r="75" spans="1:10" ht="18.75" customHeight="1">
      <c r="A75" s="1"/>
      <c r="B75" s="48" t="s">
        <v>114</v>
      </c>
      <c r="C75" s="48"/>
      <c r="D75" s="48"/>
      <c r="E75" s="48"/>
      <c r="F75" s="48"/>
      <c r="G75" s="48"/>
      <c r="H75" s="48"/>
      <c r="I75" s="48"/>
      <c r="J75" s="48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/>
  <mergeCells count="54">
    <mergeCell ref="CW7:DF7"/>
    <mergeCell ref="DG7:DP7"/>
    <mergeCell ref="A7:J7"/>
    <mergeCell ref="K7:T7"/>
    <mergeCell ref="U7:AD7"/>
    <mergeCell ref="AE7:AN7"/>
    <mergeCell ref="AO7:AX7"/>
    <mergeCell ref="AY7:BH7"/>
    <mergeCell ref="HM7:HV7"/>
    <mergeCell ref="HW7:IF7"/>
    <mergeCell ref="DQ7:DZ7"/>
    <mergeCell ref="EA7:EJ7"/>
    <mergeCell ref="EK7:ET7"/>
    <mergeCell ref="EU7:FD7"/>
    <mergeCell ref="FE7:FN7"/>
    <mergeCell ref="FO7:FX7"/>
    <mergeCell ref="BI8:BR8"/>
    <mergeCell ref="BS8:CB8"/>
    <mergeCell ref="FY7:GH7"/>
    <mergeCell ref="GI7:GR7"/>
    <mergeCell ref="GS7:HB7"/>
    <mergeCell ref="HC7:HL7"/>
    <mergeCell ref="BI7:BR7"/>
    <mergeCell ref="BS7:CB7"/>
    <mergeCell ref="CC7:CL7"/>
    <mergeCell ref="CM7:CV7"/>
    <mergeCell ref="DQ8:DZ8"/>
    <mergeCell ref="EA8:EJ8"/>
    <mergeCell ref="IG7:IP7"/>
    <mergeCell ref="IQ7:IV7"/>
    <mergeCell ref="A8:J8"/>
    <mergeCell ref="K8:T8"/>
    <mergeCell ref="U8:AD8"/>
    <mergeCell ref="AE8:AN8"/>
    <mergeCell ref="AO8:AX8"/>
    <mergeCell ref="AY8:BH8"/>
    <mergeCell ref="IG8:IP8"/>
    <mergeCell ref="IQ8:IV8"/>
    <mergeCell ref="EK8:ET8"/>
    <mergeCell ref="EU8:FD8"/>
    <mergeCell ref="FE8:FN8"/>
    <mergeCell ref="FO8:FX8"/>
    <mergeCell ref="FY8:GH8"/>
    <mergeCell ref="GI8:GR8"/>
    <mergeCell ref="A9:J9"/>
    <mergeCell ref="B75:J75"/>
    <mergeCell ref="GS8:HB8"/>
    <mergeCell ref="HC8:HL8"/>
    <mergeCell ref="HM8:HV8"/>
    <mergeCell ref="HW8:IF8"/>
    <mergeCell ref="CC8:CL8"/>
    <mergeCell ref="CM8:CV8"/>
    <mergeCell ref="CW8:DF8"/>
    <mergeCell ref="DG8:DP8"/>
  </mergeCell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Виктория Владимировна</dc:creator>
  <cp:keywords/>
  <dc:description/>
  <cp:lastModifiedBy>Иванова Виктория Владимировна</cp:lastModifiedBy>
  <cp:lastPrinted>2016-10-27T05:46:52Z</cp:lastPrinted>
  <dcterms:created xsi:type="dcterms:W3CDTF">2016-10-27T00:49:07Z</dcterms:created>
  <dcterms:modified xsi:type="dcterms:W3CDTF">2017-01-30T07:48:27Z</dcterms:modified>
  <cp:category/>
  <cp:version/>
  <cp:contentType/>
  <cp:contentStatus/>
</cp:coreProperties>
</file>