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3"/>
  </bookViews>
  <sheets>
    <sheet name="апрель 2018" sheetId="1" r:id="rId1"/>
    <sheet name="май 2018" sheetId="2" r:id="rId2"/>
    <sheet name="июнь 2018" sheetId="3" r:id="rId3"/>
    <sheet name="2 квартал" sheetId="4" r:id="rId4"/>
  </sheets>
  <definedNames/>
  <calcPr fullCalcOnLoad="1"/>
</workbook>
</file>

<file path=xl/sharedStrings.xml><?xml version="1.0" encoding="utf-8"?>
<sst xmlns="http://schemas.openxmlformats.org/spreadsheetml/2006/main" count="672" uniqueCount="171">
  <si>
    <t>ЛПУМГ, УДиТГ</t>
  </si>
  <si>
    <t>Наименование ГРС (АГРС)</t>
  </si>
  <si>
    <t>№ п/п</t>
  </si>
  <si>
    <t>УГРС</t>
  </si>
  <si>
    <t>Фактическое потребление (ЮЛ+ФЛ), тыс. м3</t>
  </si>
  <si>
    <t>Возможное потребление по выданным, но не подключенным ТУ, тыс. м3</t>
  </si>
  <si>
    <t>1</t>
  </si>
  <si>
    <t>ГРС-1</t>
  </si>
  <si>
    <t>Информация о наличии (отсутствии) технической возможности доступа к регулируемым услугам, в том числе о загрузке и наличии дефицита пропускной способности магистральных газопроводов, для целей определения возможности технологического присоединения к газораспределительным сетям за 2 квартал 2018 года</t>
  </si>
  <si>
    <t>Населенный пункт</t>
  </si>
  <si>
    <t>с. Майя, с. Петровка, с. Чуя</t>
  </si>
  <si>
    <t>2</t>
  </si>
  <si>
    <t>АГРС с. Майя</t>
  </si>
  <si>
    <t>с. Хомустах, с. Аппаны, с. Графский берег, с. Едейцы, с. Красная деревня, с. Намцы, с. Никольцы, с. Партизан, с. Хамагатта</t>
  </si>
  <si>
    <t>3</t>
  </si>
  <si>
    <t>АГРС с. Намцы</t>
  </si>
  <si>
    <t>Максимально возможное потребление, тыс. м3</t>
  </si>
  <si>
    <t>АГРС п. Нижний Бестях</t>
  </si>
  <si>
    <t>4</t>
  </si>
  <si>
    <t>п. Нижний Бестях</t>
  </si>
  <si>
    <t>г. Якутск, п. Марха, п. Жатай, с. Тулагино, с. Кильдямцы, с. Сырдах, с. Капитоновка, п. Кангалассы</t>
  </si>
  <si>
    <t>п. Мохсоголлох, г. Покровск, с. Верхний Бестях, с. Леглегер, с. Звероферма, с. Немюгюнцы</t>
  </si>
  <si>
    <t>5</t>
  </si>
  <si>
    <t>п. Табага, п. Хатассы, с. Владимировка, Покровский тр.16 км</t>
  </si>
  <si>
    <t>6</t>
  </si>
  <si>
    <t>АГРС Хатассы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</si>
  <si>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</si>
  <si>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</si>
  <si>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</si>
  <si>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</si>
  <si>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</si>
  <si>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</si>
  <si>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</si>
  <si>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</si>
  <si>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</si>
  <si>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</si>
  <si>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</si>
  <si>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</si>
  <si>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</si>
  <si>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</si>
  <si>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</si>
  <si>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</si>
  <si>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</si>
  <si>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</si>
  <si>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</si>
  <si>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</si>
  <si>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</si>
  <si>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с. Бэс-Кюель</t>
  </si>
  <si>
    <t>АГРС Бэс-Кюель</t>
  </si>
  <si>
    <t>с. Арылах, с. Багадя</t>
  </si>
  <si>
    <t>АГРС Арылах</t>
  </si>
  <si>
    <t>с. Мастах</t>
  </si>
  <si>
    <t>АГРС Мастах</t>
  </si>
  <si>
    <t>АГРС Табага</t>
  </si>
  <si>
    <t>с. Мукучи</t>
  </si>
  <si>
    <t>АГРС Мукучи</t>
  </si>
  <si>
    <t>с. Тамалакан, с. Оросу</t>
  </si>
  <si>
    <t>АГРС Тамалакан</t>
  </si>
  <si>
    <t>АГРС Тылгыны (Тиэрбэс)</t>
  </si>
  <si>
    <t>с. Тылгыны (Тиэрбэс)</t>
  </si>
  <si>
    <t>с. Сыдыбыл, с. Кеданда</t>
  </si>
  <si>
    <t>АГРС Сыдыбыл</t>
  </si>
  <si>
    <t>с. Хампа</t>
  </si>
  <si>
    <t>АГРС Хампа</t>
  </si>
  <si>
    <t>с. Екюндю, с. Бетюнцы</t>
  </si>
  <si>
    <t>АГРС Екюндю</t>
  </si>
  <si>
    <t>г. Вилюйск</t>
  </si>
  <si>
    <t>ГРС Вилюйск</t>
  </si>
  <si>
    <t>с. Кобяй, с. Ворошилов</t>
  </si>
  <si>
    <t>АГРС Кобяй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</si>
  <si>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</si>
  <si>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</si>
  <si>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</si>
  <si>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</si>
  <si>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</si>
  <si>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</si>
  <si>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</si>
  <si>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</si>
  <si>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</si>
  <si>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</si>
  <si>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</si>
  <si>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</si>
  <si>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</si>
  <si>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</si>
  <si>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с. Тасагар</t>
  </si>
  <si>
    <t>АГРС Тасагар</t>
  </si>
  <si>
    <t>с. Кюбяинде</t>
  </si>
  <si>
    <t>АГРС Кюбяинде</t>
  </si>
  <si>
    <t>с. Хомустах</t>
  </si>
  <si>
    <t>АГРС Хомустах</t>
  </si>
  <si>
    <t>с. Верхневилюйск, с. Андреевское, с. Харыйалах</t>
  </si>
  <si>
    <t>АГРС Верхневилюйск</t>
  </si>
  <si>
    <t>с. Чинеке, с. Сосновка</t>
  </si>
  <si>
    <t>АГРС Чинеке</t>
  </si>
  <si>
    <t>с. Булгунняхтах</t>
  </si>
  <si>
    <t>АГРС Булгунняхтах</t>
  </si>
  <si>
    <t>п. Кысыл-Сыр</t>
  </si>
  <si>
    <t>АГРС Кысыл-Сыр</t>
  </si>
  <si>
    <t>с. Чурапча</t>
  </si>
  <si>
    <t>АГРС Чурапча</t>
  </si>
  <si>
    <t>42</t>
  </si>
  <si>
    <t>п. Маган</t>
  </si>
  <si>
    <t>АГРС Маган</t>
  </si>
  <si>
    <t>с. Чай</t>
  </si>
  <si>
    <t>АГРС Берго</t>
  </si>
  <si>
    <t>с. Павловск</t>
  </si>
  <si>
    <t>АГРС Павловск</t>
  </si>
  <si>
    <t>с. Октемцы, с. С. Техтюр, с. Чапаево, с. Улах-Ан</t>
  </si>
  <si>
    <t>АГРС Октемцы</t>
  </si>
  <si>
    <t>АГРС Хатырык</t>
  </si>
  <si>
    <t>с. Хатырык, с. Маймага, с. Тюбятцы</t>
  </si>
  <si>
    <t>с. Кюерелях</t>
  </si>
  <si>
    <t>АГРС Кюерелях</t>
  </si>
  <si>
    <t>с. Искра</t>
  </si>
  <si>
    <t>АГРС Искра</t>
  </si>
  <si>
    <t>АГРС Бетюнцы</t>
  </si>
  <si>
    <t>с. Бетюнцы, с. Модутцы</t>
  </si>
  <si>
    <t>с. Усун (Кулятцы)</t>
  </si>
  <si>
    <t>АГРС Усун</t>
  </si>
  <si>
    <t>с. Кюль (Харбалах)</t>
  </si>
  <si>
    <t>АГРС Кюль</t>
  </si>
  <si>
    <t>с. Тымпы</t>
  </si>
  <si>
    <t>АГРС Тымпы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</si>
  <si>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</si>
  <si>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</si>
  <si>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</si>
  <si>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</si>
  <si>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</si>
  <si>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</si>
  <si>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</si>
  <si>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</si>
  <si>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</si>
  <si>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с. Люксюгун</t>
  </si>
  <si>
    <t>АГРС Люксюгун</t>
  </si>
  <si>
    <t>с. Чагда</t>
  </si>
  <si>
    <t>АГРС Чагда</t>
  </si>
  <si>
    <t>с. Хаптагай</t>
  </si>
  <si>
    <t>АГРС Хаптагай</t>
  </si>
  <si>
    <t>с. Суола</t>
  </si>
  <si>
    <t>АГРС Суола</t>
  </si>
  <si>
    <t>с. Улахан-Ан</t>
  </si>
  <si>
    <t>АГРС Улахан-Ан</t>
  </si>
  <si>
    <t>с. Салбанцы</t>
  </si>
  <si>
    <t>АГРС Салбанцы</t>
  </si>
  <si>
    <t>АГРС Арыктах</t>
  </si>
  <si>
    <t>с. Арыктах</t>
  </si>
  <si>
    <t>с. Табага (заречье)</t>
  </si>
  <si>
    <t>АГРС Тюнгюлю</t>
  </si>
  <si>
    <t>с. Тюнгюлю, с. Тарат, с. Тумул</t>
  </si>
  <si>
    <t>АГРС Дябыла</t>
  </si>
  <si>
    <t>с. Дябыла</t>
  </si>
  <si>
    <t>АГРС Беке</t>
  </si>
  <si>
    <t>с. Беке</t>
  </si>
  <si>
    <t>с. Аргас, с. Кальвица</t>
  </si>
  <si>
    <t>Итого:</t>
  </si>
  <si>
    <t>Приложение 1</t>
  </si>
  <si>
    <t>Пропускная способность ГРС (проектная),                        тыс. м3/час</t>
  </si>
  <si>
    <t>АГРС Ситте</t>
  </si>
  <si>
    <t>с. Ситте</t>
  </si>
  <si>
    <t>АГРС Таастах</t>
  </si>
  <si>
    <t>с. Таастах</t>
  </si>
  <si>
    <t>АГРС Тыайа</t>
  </si>
  <si>
    <t>с. Тыайа</t>
  </si>
  <si>
    <t>Собственность АО "ЯТЭК"</t>
  </si>
  <si>
    <t>АГРС Чай (Борогонцы)</t>
  </si>
  <si>
    <t>ГРС Покровск</t>
  </si>
  <si>
    <t>Максимальный часовой расход в зимний период,           тыс. м3</t>
  </si>
  <si>
    <t>Свободная мощность газораспределительной станции,                        тыс. м3/час</t>
  </si>
  <si>
    <t>Информация о наличии (отсутствии) технической возможности доступа к регулируемым услугам, в том числе о загрузке и наличии дефицита пропускной способности магистральных газопроводов, для целей определения возможности технологического присоединения к газораспределительным сетям за май 2018 года</t>
  </si>
  <si>
    <t>Информация о наличии (отсутствии) технической возможности доступа к регулируемым услугам, в том числе о загрузке и наличии дефицита пропускной способности магистральных газопроводов, для целей определения возможности технологического присоединения к газораспределительным сетям за июнь 2018 года</t>
  </si>
  <si>
    <t>АГРС ОП Берго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</si>
</sst>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49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164" fontId="36" fillId="0" borderId="10" xfId="0" applyNumberFormat="1" applyFont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0" fontId="36" fillId="0" borderId="10" xfId="0" applyFont="1" applyBorder="1" applyAlignment="1">
      <alignment horizontal="center" vertical="center" wrapText="1"/>
    </xf>
    <xf numFmtId="164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4" fontId="36" fillId="33" borderId="10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1"/>
  <sheetViews>
    <sheetView view="pageBreakPreview" zoomScaleSheetLayoutView="100" zoomScalePageLayoutView="0" workbookViewId="0" topLeftCell="A1">
      <pane ySplit="4" topLeftCell="A8" activePane="bottomLeft" state="frozen"/>
      <selection pane="topLeft" activeCell="A1" sqref="A1"/>
      <selection pane="bottomLeft" activeCell="G45" sqref="G45"/>
    </sheetView>
  </sheetViews>
  <sheetFormatPr defaultColWidth="9.140625" defaultRowHeight="15"/>
  <cols>
    <col min="1" max="1" width="6.140625" style="0" customWidth="1"/>
    <col min="2" max="2" width="18.00390625" style="0" customWidth="1"/>
    <col min="3" max="3" width="24.28125" style="0" customWidth="1"/>
    <col min="4" max="4" width="23.00390625" style="0" customWidth="1"/>
    <col min="5" max="5" width="22.7109375" style="0" customWidth="1"/>
    <col min="6" max="6" width="24.421875" style="0" customWidth="1"/>
    <col min="7" max="7" width="20.00390625" style="0" customWidth="1"/>
    <col min="8" max="8" width="28.28125" style="0" customWidth="1"/>
    <col min="9" max="9" width="21.574218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9" t="s">
        <v>155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52.5" customHeight="1">
      <c r="A2" s="20" t="s">
        <v>168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21" t="s">
        <v>2</v>
      </c>
      <c r="B3" s="21" t="s">
        <v>1</v>
      </c>
      <c r="C3" s="21" t="s">
        <v>9</v>
      </c>
      <c r="D3" s="22" t="s">
        <v>0</v>
      </c>
      <c r="E3" s="23"/>
      <c r="F3" s="24"/>
      <c r="G3" s="21" t="s">
        <v>3</v>
      </c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60.75" customHeight="1">
      <c r="A4" s="21"/>
      <c r="B4" s="21"/>
      <c r="C4" s="21"/>
      <c r="D4" s="10" t="s">
        <v>166</v>
      </c>
      <c r="E4" s="10" t="s">
        <v>156</v>
      </c>
      <c r="F4" s="10" t="s">
        <v>167</v>
      </c>
      <c r="G4" s="10" t="s">
        <v>4</v>
      </c>
      <c r="H4" s="10" t="s">
        <v>5</v>
      </c>
      <c r="I4" s="10" t="s">
        <v>16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78.75">
      <c r="A5" s="4" t="s">
        <v>6</v>
      </c>
      <c r="B5" s="10" t="s">
        <v>7</v>
      </c>
      <c r="C5" s="10" t="s">
        <v>20</v>
      </c>
      <c r="D5" s="10">
        <v>198.92</v>
      </c>
      <c r="E5" s="10">
        <v>235</v>
      </c>
      <c r="F5" s="10">
        <f>E5-D5</f>
        <v>36.08000000000001</v>
      </c>
      <c r="G5" s="11">
        <v>85977.087</v>
      </c>
      <c r="H5" s="12">
        <v>15080.52</v>
      </c>
      <c r="I5" s="11">
        <f>G5+H5</f>
        <v>101057.607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>
      <c r="A6" s="4" t="s">
        <v>11</v>
      </c>
      <c r="B6" s="10" t="s">
        <v>102</v>
      </c>
      <c r="C6" s="10" t="s">
        <v>101</v>
      </c>
      <c r="D6" s="10">
        <v>1.45</v>
      </c>
      <c r="E6" s="10">
        <v>10</v>
      </c>
      <c r="F6" s="10">
        <f aca="true" t="shared" si="0" ref="F6:F55">E6-D6</f>
        <v>8.55</v>
      </c>
      <c r="G6" s="11">
        <v>379.337</v>
      </c>
      <c r="H6" s="11">
        <v>18.06168</v>
      </c>
      <c r="I6" s="11">
        <f aca="true" t="shared" si="1" ref="I6:I55">G6+H6</f>
        <v>397.39868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47.25">
      <c r="A7" s="4" t="s">
        <v>14</v>
      </c>
      <c r="B7" s="10" t="s">
        <v>25</v>
      </c>
      <c r="C7" s="10" t="s">
        <v>23</v>
      </c>
      <c r="D7" s="10">
        <v>5.89</v>
      </c>
      <c r="E7" s="10">
        <v>10</v>
      </c>
      <c r="F7" s="10">
        <f t="shared" si="0"/>
        <v>4.11</v>
      </c>
      <c r="G7" s="11">
        <v>1822.9479999999999</v>
      </c>
      <c r="H7" s="11">
        <v>9207.04512</v>
      </c>
      <c r="I7" s="11">
        <f t="shared" si="1"/>
        <v>11029.993120000001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1.5">
      <c r="A8" s="4" t="s">
        <v>18</v>
      </c>
      <c r="B8" s="10" t="s">
        <v>12</v>
      </c>
      <c r="C8" s="10" t="s">
        <v>10</v>
      </c>
      <c r="D8" s="10">
        <v>5.66</v>
      </c>
      <c r="E8" s="10">
        <v>10</v>
      </c>
      <c r="F8" s="10">
        <f t="shared" si="0"/>
        <v>4.34</v>
      </c>
      <c r="G8" s="11">
        <v>1759.114</v>
      </c>
      <c r="H8" s="12">
        <v>5569.2</v>
      </c>
      <c r="I8" s="11">
        <f t="shared" si="1"/>
        <v>7328.314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10" ht="15.75">
      <c r="A9" s="4" t="s">
        <v>22</v>
      </c>
      <c r="B9" s="6" t="s">
        <v>137</v>
      </c>
      <c r="C9" s="6" t="s">
        <v>136</v>
      </c>
      <c r="D9" s="6">
        <v>0.61</v>
      </c>
      <c r="E9" s="6">
        <v>2</v>
      </c>
      <c r="F9" s="10">
        <f t="shared" si="0"/>
        <v>1.3900000000000001</v>
      </c>
      <c r="G9" s="11">
        <v>0.20363900000000967</v>
      </c>
      <c r="H9" s="7">
        <v>113.3496</v>
      </c>
      <c r="I9" s="11">
        <f t="shared" si="1"/>
        <v>113.553239</v>
      </c>
      <c r="J9" s="3"/>
    </row>
    <row r="10" spans="1:23" ht="31.5">
      <c r="A10" s="4" t="s">
        <v>24</v>
      </c>
      <c r="B10" s="10" t="s">
        <v>17</v>
      </c>
      <c r="C10" s="10" t="s">
        <v>19</v>
      </c>
      <c r="D10" s="10">
        <v>3.54</v>
      </c>
      <c r="E10" s="10">
        <v>5</v>
      </c>
      <c r="F10" s="10">
        <f t="shared" si="0"/>
        <v>1.46</v>
      </c>
      <c r="G10" s="11">
        <v>1272.491</v>
      </c>
      <c r="H10" s="10">
        <v>2950.584</v>
      </c>
      <c r="I10" s="11">
        <f t="shared" si="1"/>
        <v>4223.075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10" ht="15.75">
      <c r="A11" s="4" t="s">
        <v>26</v>
      </c>
      <c r="B11" s="6" t="s">
        <v>139</v>
      </c>
      <c r="C11" s="6" t="s">
        <v>138</v>
      </c>
      <c r="D11" s="6">
        <v>0.17</v>
      </c>
      <c r="E11" s="6">
        <v>1</v>
      </c>
      <c r="F11" s="10">
        <f t="shared" si="0"/>
        <v>0.83</v>
      </c>
      <c r="G11" s="11">
        <v>403.58500000000004</v>
      </c>
      <c r="H11" s="7">
        <v>139.5576</v>
      </c>
      <c r="I11" s="11">
        <f t="shared" si="1"/>
        <v>543.1426</v>
      </c>
      <c r="J11" s="3"/>
    </row>
    <row r="12" spans="1:23" ht="15.75">
      <c r="A12" s="4" t="s">
        <v>27</v>
      </c>
      <c r="B12" s="10" t="s">
        <v>106</v>
      </c>
      <c r="C12" s="10" t="s">
        <v>105</v>
      </c>
      <c r="D12" s="10">
        <v>1.44</v>
      </c>
      <c r="E12" s="10">
        <v>5</v>
      </c>
      <c r="F12" s="10">
        <f t="shared" si="0"/>
        <v>3.56</v>
      </c>
      <c r="G12" s="11">
        <v>504.03500000000014</v>
      </c>
      <c r="H12" s="5">
        <v>1278.0768</v>
      </c>
      <c r="I12" s="11">
        <f t="shared" si="1"/>
        <v>1782.1118000000001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75">
      <c r="A13" s="4" t="s">
        <v>28</v>
      </c>
      <c r="B13" s="10" t="s">
        <v>53</v>
      </c>
      <c r="C13" s="10" t="s">
        <v>146</v>
      </c>
      <c r="D13" s="10">
        <v>0.64</v>
      </c>
      <c r="E13" s="10">
        <v>2</v>
      </c>
      <c r="F13" s="10">
        <f t="shared" si="0"/>
        <v>1.3599999999999999</v>
      </c>
      <c r="G13" s="11">
        <v>19.54500000000003</v>
      </c>
      <c r="H13" s="5">
        <v>599.9448</v>
      </c>
      <c r="I13" s="11">
        <f t="shared" si="1"/>
        <v>619.4898000000001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1.5">
      <c r="A14" s="4" t="s">
        <v>29</v>
      </c>
      <c r="B14" s="10" t="s">
        <v>147</v>
      </c>
      <c r="C14" s="10" t="s">
        <v>148</v>
      </c>
      <c r="D14" s="10">
        <v>1.24</v>
      </c>
      <c r="E14" s="10">
        <v>2.5</v>
      </c>
      <c r="F14" s="10">
        <f t="shared" si="0"/>
        <v>1.26</v>
      </c>
      <c r="G14" s="11">
        <v>290.806</v>
      </c>
      <c r="H14" s="5">
        <v>1886.7576</v>
      </c>
      <c r="I14" s="11">
        <f t="shared" si="1"/>
        <v>2177.5636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>
      <c r="A15" s="4" t="s">
        <v>30</v>
      </c>
      <c r="B15" s="10" t="s">
        <v>151</v>
      </c>
      <c r="C15" s="10" t="s">
        <v>152</v>
      </c>
      <c r="D15" s="10">
        <v>0.06</v>
      </c>
      <c r="E15" s="10">
        <v>1</v>
      </c>
      <c r="F15" s="10">
        <f t="shared" si="0"/>
        <v>0.94</v>
      </c>
      <c r="G15" s="11">
        <v>28.124672999999998</v>
      </c>
      <c r="H15" s="5">
        <v>2572.5336</v>
      </c>
      <c r="I15" s="11">
        <f t="shared" si="1"/>
        <v>2600.658273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>
      <c r="A16" s="4" t="s">
        <v>31</v>
      </c>
      <c r="B16" s="10" t="s">
        <v>99</v>
      </c>
      <c r="C16" s="10" t="s">
        <v>98</v>
      </c>
      <c r="D16" s="10">
        <v>3.9</v>
      </c>
      <c r="E16" s="10">
        <v>20</v>
      </c>
      <c r="F16" s="10">
        <f t="shared" si="0"/>
        <v>16.1</v>
      </c>
      <c r="G16" s="11">
        <v>1129.678</v>
      </c>
      <c r="H16" s="5">
        <v>2421.1823999999997</v>
      </c>
      <c r="I16" s="11">
        <f t="shared" si="1"/>
        <v>3550.8603999999996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>
      <c r="A17" s="4" t="s">
        <v>32</v>
      </c>
      <c r="B17" s="10" t="s">
        <v>149</v>
      </c>
      <c r="C17" s="10" t="s">
        <v>150</v>
      </c>
      <c r="D17" s="10">
        <v>0.07</v>
      </c>
      <c r="E17" s="10">
        <v>1</v>
      </c>
      <c r="F17" s="10">
        <f t="shared" si="0"/>
        <v>0.9299999999999999</v>
      </c>
      <c r="G17" s="11">
        <v>47.830664</v>
      </c>
      <c r="H17" s="10">
        <v>6782.412</v>
      </c>
      <c r="I17" s="11">
        <f t="shared" si="1"/>
        <v>6830.242664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78.75">
      <c r="A18" s="4" t="s">
        <v>33</v>
      </c>
      <c r="B18" s="10" t="s">
        <v>165</v>
      </c>
      <c r="C18" s="10" t="s">
        <v>21</v>
      </c>
      <c r="D18" s="10">
        <v>22.85</v>
      </c>
      <c r="E18" s="10">
        <v>43</v>
      </c>
      <c r="F18" s="10">
        <f t="shared" si="0"/>
        <v>20.15</v>
      </c>
      <c r="G18" s="11">
        <v>10048.711</v>
      </c>
      <c r="H18" s="10">
        <v>1382.472</v>
      </c>
      <c r="I18" s="11">
        <f t="shared" si="1"/>
        <v>11431.182999999999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47.25">
      <c r="A19" s="4" t="s">
        <v>34</v>
      </c>
      <c r="B19" s="10" t="s">
        <v>108</v>
      </c>
      <c r="C19" s="10" t="s">
        <v>107</v>
      </c>
      <c r="D19" s="10">
        <v>2.61</v>
      </c>
      <c r="E19" s="10">
        <v>20</v>
      </c>
      <c r="F19" s="10">
        <f t="shared" si="0"/>
        <v>17.39</v>
      </c>
      <c r="G19" s="11">
        <v>772.498</v>
      </c>
      <c r="H19" s="10">
        <v>620.256</v>
      </c>
      <c r="I19" s="11">
        <f t="shared" si="1"/>
        <v>1392.754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10" ht="15.75">
      <c r="A20" s="4" t="s">
        <v>35</v>
      </c>
      <c r="B20" s="6" t="s">
        <v>141</v>
      </c>
      <c r="C20" s="6" t="s">
        <v>140</v>
      </c>
      <c r="D20" s="6">
        <v>0.56</v>
      </c>
      <c r="E20" s="6">
        <v>2</v>
      </c>
      <c r="F20" s="10">
        <f t="shared" si="0"/>
        <v>1.44</v>
      </c>
      <c r="G20" s="11">
        <v>173.704</v>
      </c>
      <c r="H20" s="6">
        <v>165.984</v>
      </c>
      <c r="I20" s="11">
        <f t="shared" si="1"/>
        <v>339.688</v>
      </c>
      <c r="J20" s="3"/>
    </row>
    <row r="21" spans="1:23" ht="31.5">
      <c r="A21" s="4" t="s">
        <v>36</v>
      </c>
      <c r="B21" s="10" t="s">
        <v>95</v>
      </c>
      <c r="C21" s="6" t="s">
        <v>94</v>
      </c>
      <c r="D21" s="10">
        <v>0.84</v>
      </c>
      <c r="E21" s="10">
        <v>2</v>
      </c>
      <c r="F21" s="10">
        <f t="shared" si="0"/>
        <v>1.1600000000000001</v>
      </c>
      <c r="G21" s="11">
        <v>261.866</v>
      </c>
      <c r="H21" s="10">
        <v>109.2</v>
      </c>
      <c r="I21" s="11">
        <f t="shared" si="1"/>
        <v>371.066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94.5">
      <c r="A22" s="4" t="s">
        <v>37</v>
      </c>
      <c r="B22" s="10" t="s">
        <v>15</v>
      </c>
      <c r="C22" s="10" t="s">
        <v>13</v>
      </c>
      <c r="D22" s="10">
        <v>11.26</v>
      </c>
      <c r="E22" s="10">
        <v>20</v>
      </c>
      <c r="F22" s="10">
        <f t="shared" si="0"/>
        <v>8.74</v>
      </c>
      <c r="G22" s="11">
        <v>3353.6639999999998</v>
      </c>
      <c r="H22" s="10">
        <v>31851.456</v>
      </c>
      <c r="I22" s="11">
        <f t="shared" si="1"/>
        <v>35205.119999999995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1.5">
      <c r="A23" s="4" t="s">
        <v>38</v>
      </c>
      <c r="B23" s="10" t="s">
        <v>109</v>
      </c>
      <c r="C23" s="10" t="s">
        <v>110</v>
      </c>
      <c r="D23" s="10">
        <v>0.8</v>
      </c>
      <c r="E23" s="10">
        <v>2</v>
      </c>
      <c r="F23" s="10">
        <f t="shared" si="0"/>
        <v>1.2</v>
      </c>
      <c r="G23" s="11">
        <v>251.916</v>
      </c>
      <c r="H23" s="10">
        <v>227.136</v>
      </c>
      <c r="I23" s="11">
        <f t="shared" si="1"/>
        <v>479.052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10" ht="15.75">
      <c r="A24" s="4" t="s">
        <v>39</v>
      </c>
      <c r="B24" s="6" t="s">
        <v>143</v>
      </c>
      <c r="C24" s="6" t="s">
        <v>142</v>
      </c>
      <c r="D24" s="6">
        <v>0.21</v>
      </c>
      <c r="E24" s="6">
        <v>1</v>
      </c>
      <c r="F24" s="10">
        <f t="shared" si="0"/>
        <v>0.79</v>
      </c>
      <c r="G24" s="11">
        <v>85.704</v>
      </c>
      <c r="H24" s="6">
        <v>312.312</v>
      </c>
      <c r="I24" s="11">
        <f t="shared" si="1"/>
        <v>398.016</v>
      </c>
      <c r="J24" s="3"/>
    </row>
    <row r="25" spans="1:10" ht="15.75">
      <c r="A25" s="4" t="s">
        <v>40</v>
      </c>
      <c r="B25" s="6" t="s">
        <v>114</v>
      </c>
      <c r="C25" s="6" t="s">
        <v>113</v>
      </c>
      <c r="D25" s="6">
        <v>0.13</v>
      </c>
      <c r="E25" s="6">
        <v>2</v>
      </c>
      <c r="F25" s="10">
        <f t="shared" si="0"/>
        <v>1.87</v>
      </c>
      <c r="G25" s="11">
        <v>40.313</v>
      </c>
      <c r="H25" s="6">
        <v>251.16</v>
      </c>
      <c r="I25" s="11">
        <f t="shared" si="1"/>
        <v>291.473</v>
      </c>
      <c r="J25" s="3"/>
    </row>
    <row r="26" spans="1:10" ht="15.75">
      <c r="A26" s="4" t="s">
        <v>41</v>
      </c>
      <c r="B26" s="6" t="s">
        <v>115</v>
      </c>
      <c r="C26" s="6" t="s">
        <v>116</v>
      </c>
      <c r="D26" s="6">
        <v>0.75</v>
      </c>
      <c r="E26" s="6">
        <v>2</v>
      </c>
      <c r="F26" s="10">
        <f t="shared" si="0"/>
        <v>1.25</v>
      </c>
      <c r="G26" s="11">
        <v>232.81899999999996</v>
      </c>
      <c r="H26" s="6">
        <v>248.976</v>
      </c>
      <c r="I26" s="11">
        <f t="shared" si="1"/>
        <v>481.79499999999996</v>
      </c>
      <c r="J26" s="3"/>
    </row>
    <row r="27" spans="1:23" ht="15.75">
      <c r="A27" s="4" t="s">
        <v>42</v>
      </c>
      <c r="B27" s="10" t="s">
        <v>157</v>
      </c>
      <c r="C27" s="10" t="s">
        <v>158</v>
      </c>
      <c r="D27" s="10">
        <v>0.26</v>
      </c>
      <c r="E27" s="10">
        <v>2</v>
      </c>
      <c r="F27" s="10">
        <f t="shared" si="0"/>
        <v>1.74</v>
      </c>
      <c r="G27" s="11">
        <v>85.32499999999997</v>
      </c>
      <c r="H27" s="10">
        <v>10.92</v>
      </c>
      <c r="I27" s="11">
        <f t="shared" si="1"/>
        <v>96.24499999999998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>
      <c r="A28" s="4" t="s">
        <v>43</v>
      </c>
      <c r="B28" s="10" t="s">
        <v>159</v>
      </c>
      <c r="C28" s="10" t="s">
        <v>160</v>
      </c>
      <c r="D28" s="10">
        <v>0.17</v>
      </c>
      <c r="E28" s="10">
        <v>10</v>
      </c>
      <c r="F28" s="10">
        <f t="shared" si="0"/>
        <v>9.83</v>
      </c>
      <c r="G28" s="11">
        <v>45.141999999999996</v>
      </c>
      <c r="H28" s="10">
        <v>32.76</v>
      </c>
      <c r="I28" s="11">
        <f t="shared" si="1"/>
        <v>77.90199999999999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6.5" customHeight="1">
      <c r="A29" s="4" t="s">
        <v>44</v>
      </c>
      <c r="B29" s="10" t="s">
        <v>48</v>
      </c>
      <c r="C29" s="10" t="s">
        <v>47</v>
      </c>
      <c r="D29" s="10">
        <v>0.37</v>
      </c>
      <c r="E29" s="10">
        <v>2</v>
      </c>
      <c r="F29" s="10">
        <f t="shared" si="0"/>
        <v>1.63</v>
      </c>
      <c r="G29" s="11">
        <v>123.52700000000002</v>
      </c>
      <c r="H29" s="10">
        <v>32.76</v>
      </c>
      <c r="I29" s="11">
        <f t="shared" si="1"/>
        <v>156.287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>
      <c r="A30" s="4" t="s">
        <v>45</v>
      </c>
      <c r="B30" s="10" t="s">
        <v>112</v>
      </c>
      <c r="C30" s="10" t="s">
        <v>111</v>
      </c>
      <c r="D30" s="10">
        <v>0.28</v>
      </c>
      <c r="E30" s="10">
        <v>1</v>
      </c>
      <c r="F30" s="10">
        <f t="shared" si="0"/>
        <v>0.72</v>
      </c>
      <c r="G30" s="11">
        <v>108.68899999999998</v>
      </c>
      <c r="H30" s="10">
        <v>43.68</v>
      </c>
      <c r="I30" s="11">
        <f t="shared" si="1"/>
        <v>152.36899999999997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>
      <c r="A31" s="4" t="s">
        <v>46</v>
      </c>
      <c r="B31" s="10" t="s">
        <v>69</v>
      </c>
      <c r="C31" s="10" t="s">
        <v>68</v>
      </c>
      <c r="D31" s="10">
        <v>2.07</v>
      </c>
      <c r="E31" s="10">
        <v>5</v>
      </c>
      <c r="F31" s="10">
        <f t="shared" si="0"/>
        <v>2.93</v>
      </c>
      <c r="G31" s="11">
        <v>667.576</v>
      </c>
      <c r="H31" s="10">
        <v>32.76</v>
      </c>
      <c r="I31" s="11">
        <f t="shared" si="1"/>
        <v>700.336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>
      <c r="A32" s="4" t="s">
        <v>70</v>
      </c>
      <c r="B32" s="10" t="s">
        <v>170</v>
      </c>
      <c r="C32" s="10" t="s">
        <v>153</v>
      </c>
      <c r="D32" s="10">
        <v>0.66</v>
      </c>
      <c r="E32" s="10">
        <v>10</v>
      </c>
      <c r="F32" s="10">
        <f t="shared" si="0"/>
        <v>9.34</v>
      </c>
      <c r="G32" s="11">
        <v>161.252</v>
      </c>
      <c r="H32" s="10">
        <v>65.52</v>
      </c>
      <c r="I32" s="11">
        <f t="shared" si="1"/>
        <v>226.772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>
      <c r="A33" s="4" t="s">
        <v>71</v>
      </c>
      <c r="B33" s="10" t="s">
        <v>144</v>
      </c>
      <c r="C33" s="10" t="s">
        <v>145</v>
      </c>
      <c r="D33" s="10">
        <v>0.25</v>
      </c>
      <c r="E33" s="10">
        <v>1</v>
      </c>
      <c r="F33" s="10">
        <f t="shared" si="0"/>
        <v>0.75</v>
      </c>
      <c r="G33" s="11">
        <v>83.94899999999998</v>
      </c>
      <c r="H33" s="10">
        <v>21.84</v>
      </c>
      <c r="I33" s="11">
        <f t="shared" si="1"/>
        <v>105.78899999999999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>
      <c r="A34" s="4" t="s">
        <v>72</v>
      </c>
      <c r="B34" s="10" t="s">
        <v>161</v>
      </c>
      <c r="C34" s="10" t="s">
        <v>162</v>
      </c>
      <c r="D34" s="10">
        <v>0.37</v>
      </c>
      <c r="E34" s="10">
        <v>1</v>
      </c>
      <c r="F34" s="10">
        <f t="shared" si="0"/>
        <v>0.63</v>
      </c>
      <c r="G34" s="11">
        <v>102.76700000000001</v>
      </c>
      <c r="H34" s="10">
        <v>10.92</v>
      </c>
      <c r="I34" s="11">
        <f t="shared" si="1"/>
        <v>113.68700000000001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10" ht="15.75">
      <c r="A35" s="4" t="s">
        <v>73</v>
      </c>
      <c r="B35" s="6" t="s">
        <v>133</v>
      </c>
      <c r="C35" s="6" t="s">
        <v>132</v>
      </c>
      <c r="D35" s="6">
        <v>0.2</v>
      </c>
      <c r="E35" s="6">
        <v>1</v>
      </c>
      <c r="F35" s="10">
        <f t="shared" si="0"/>
        <v>0.8</v>
      </c>
      <c r="G35" s="11">
        <v>49.292</v>
      </c>
      <c r="H35" s="6">
        <v>0</v>
      </c>
      <c r="I35" s="11">
        <f t="shared" si="1"/>
        <v>49.292</v>
      </c>
      <c r="J35" s="3"/>
    </row>
    <row r="36" spans="1:10" ht="15.75">
      <c r="A36" s="4" t="s">
        <v>74</v>
      </c>
      <c r="B36" s="6" t="s">
        <v>135</v>
      </c>
      <c r="C36" s="6" t="s">
        <v>134</v>
      </c>
      <c r="D36" s="6">
        <v>0.38</v>
      </c>
      <c r="E36" s="6">
        <v>1</v>
      </c>
      <c r="F36" s="10">
        <f t="shared" si="0"/>
        <v>0.62</v>
      </c>
      <c r="G36" s="11">
        <v>112.19900000000001</v>
      </c>
      <c r="H36" s="6">
        <v>0</v>
      </c>
      <c r="I36" s="11">
        <f t="shared" si="1"/>
        <v>112.19900000000001</v>
      </c>
      <c r="J36" s="3"/>
    </row>
    <row r="37" spans="1:23" ht="15.75">
      <c r="A37" s="4" t="s">
        <v>75</v>
      </c>
      <c r="B37" s="10" t="s">
        <v>55</v>
      </c>
      <c r="C37" s="10" t="s">
        <v>54</v>
      </c>
      <c r="D37" s="10">
        <v>0.344</v>
      </c>
      <c r="E37" s="10">
        <v>2</v>
      </c>
      <c r="F37" s="10">
        <f t="shared" si="0"/>
        <v>1.6560000000000001</v>
      </c>
      <c r="G37" s="11">
        <v>253.49200000000002</v>
      </c>
      <c r="H37" s="10">
        <v>253.492</v>
      </c>
      <c r="I37" s="11">
        <f t="shared" si="1"/>
        <v>506.98400000000004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4" t="s">
        <v>76</v>
      </c>
      <c r="B38" s="10" t="s">
        <v>50</v>
      </c>
      <c r="C38" s="10" t="s">
        <v>49</v>
      </c>
      <c r="D38" s="10">
        <v>0.062</v>
      </c>
      <c r="E38" s="10">
        <v>1</v>
      </c>
      <c r="F38" s="10">
        <f t="shared" si="0"/>
        <v>0.938</v>
      </c>
      <c r="G38" s="11">
        <v>64.364</v>
      </c>
      <c r="H38" s="10">
        <v>174.72</v>
      </c>
      <c r="I38" s="11">
        <f t="shared" si="1"/>
        <v>239.084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>
      <c r="A39" s="4" t="s">
        <v>77</v>
      </c>
      <c r="B39" s="10" t="s">
        <v>52</v>
      </c>
      <c r="C39" s="10" t="s">
        <v>51</v>
      </c>
      <c r="D39" s="10">
        <v>0.24</v>
      </c>
      <c r="E39" s="10">
        <v>2</v>
      </c>
      <c r="F39" s="10">
        <f t="shared" si="0"/>
        <v>1.76</v>
      </c>
      <c r="G39" s="11">
        <v>107.731</v>
      </c>
      <c r="H39" s="10">
        <v>87.36</v>
      </c>
      <c r="I39" s="11">
        <f t="shared" si="1"/>
        <v>195.091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>
      <c r="A40" s="4" t="s">
        <v>78</v>
      </c>
      <c r="B40" s="10" t="s">
        <v>67</v>
      </c>
      <c r="C40" s="10" t="s">
        <v>66</v>
      </c>
      <c r="D40" s="10">
        <v>2.22</v>
      </c>
      <c r="E40" s="10">
        <v>10</v>
      </c>
      <c r="F40" s="10">
        <f t="shared" si="0"/>
        <v>7.779999999999999</v>
      </c>
      <c r="G40" s="11">
        <v>2617.818</v>
      </c>
      <c r="H40" s="5">
        <v>2317.5516000000002</v>
      </c>
      <c r="I40" s="11">
        <f t="shared" si="1"/>
        <v>4935.3696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31.5">
      <c r="A41" s="4" t="s">
        <v>79</v>
      </c>
      <c r="B41" s="10" t="s">
        <v>58</v>
      </c>
      <c r="C41" s="10" t="s">
        <v>59</v>
      </c>
      <c r="D41" s="10">
        <v>0.137</v>
      </c>
      <c r="E41" s="10">
        <v>2</v>
      </c>
      <c r="F41" s="10">
        <f t="shared" si="0"/>
        <v>1.863</v>
      </c>
      <c r="G41" s="11">
        <v>106.462</v>
      </c>
      <c r="H41" s="5">
        <v>46.58472</v>
      </c>
      <c r="I41" s="11">
        <f t="shared" si="1"/>
        <v>153.04672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8" customHeight="1">
      <c r="A42" s="4" t="s">
        <v>80</v>
      </c>
      <c r="B42" s="10" t="s">
        <v>61</v>
      </c>
      <c r="C42" s="10" t="s">
        <v>60</v>
      </c>
      <c r="D42" s="10">
        <v>0.166</v>
      </c>
      <c r="E42" s="10">
        <v>2</v>
      </c>
      <c r="F42" s="10">
        <f t="shared" si="0"/>
        <v>1.834</v>
      </c>
      <c r="G42" s="11">
        <v>165.39499999999998</v>
      </c>
      <c r="H42" s="10">
        <v>54.6</v>
      </c>
      <c r="I42" s="11">
        <f t="shared" si="1"/>
        <v>219.99499999999998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4" t="s">
        <v>81</v>
      </c>
      <c r="B43" s="10" t="s">
        <v>63</v>
      </c>
      <c r="C43" s="10" t="s">
        <v>62</v>
      </c>
      <c r="D43" s="10">
        <v>0.26</v>
      </c>
      <c r="E43" s="10">
        <v>5.8</v>
      </c>
      <c r="F43" s="10">
        <f t="shared" si="0"/>
        <v>5.54</v>
      </c>
      <c r="G43" s="11">
        <v>182.197</v>
      </c>
      <c r="H43" s="5">
        <v>20.966399999999997</v>
      </c>
      <c r="I43" s="11">
        <f t="shared" si="1"/>
        <v>203.1634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>
      <c r="A44" s="4" t="s">
        <v>82</v>
      </c>
      <c r="B44" s="10" t="s">
        <v>65</v>
      </c>
      <c r="C44" s="10" t="s">
        <v>64</v>
      </c>
      <c r="D44" s="10">
        <v>0.18</v>
      </c>
      <c r="E44" s="10">
        <v>3</v>
      </c>
      <c r="F44" s="10">
        <f t="shared" si="0"/>
        <v>2.82</v>
      </c>
      <c r="G44" s="11">
        <v>158.763</v>
      </c>
      <c r="H44" s="10">
        <v>27.3</v>
      </c>
      <c r="I44" s="11">
        <f t="shared" si="1"/>
        <v>186.06300000000002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>
      <c r="A45" s="4" t="s">
        <v>83</v>
      </c>
      <c r="B45" s="10" t="s">
        <v>85</v>
      </c>
      <c r="C45" s="10" t="s">
        <v>84</v>
      </c>
      <c r="D45" s="10">
        <v>0.086</v>
      </c>
      <c r="E45" s="10">
        <v>3</v>
      </c>
      <c r="F45" s="10">
        <f t="shared" si="0"/>
        <v>2.914</v>
      </c>
      <c r="G45" s="11">
        <v>83.002</v>
      </c>
      <c r="H45" s="5">
        <v>28.108079999999998</v>
      </c>
      <c r="I45" s="11">
        <f t="shared" si="1"/>
        <v>111.11008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>
      <c r="A46" s="4" t="s">
        <v>100</v>
      </c>
      <c r="B46" s="10" t="s">
        <v>87</v>
      </c>
      <c r="C46" s="10" t="s">
        <v>86</v>
      </c>
      <c r="D46" s="10">
        <v>0.109</v>
      </c>
      <c r="E46" s="10">
        <v>2</v>
      </c>
      <c r="F46" s="10">
        <f t="shared" si="0"/>
        <v>1.891</v>
      </c>
      <c r="G46" s="11">
        <v>93.434</v>
      </c>
      <c r="H46" s="5">
        <v>63.401520000000005</v>
      </c>
      <c r="I46" s="11">
        <f t="shared" si="1"/>
        <v>156.83552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31.5">
      <c r="A47" s="4" t="s">
        <v>123</v>
      </c>
      <c r="B47" s="10" t="s">
        <v>97</v>
      </c>
      <c r="C47" s="10" t="s">
        <v>96</v>
      </c>
      <c r="D47" s="15" t="s">
        <v>163</v>
      </c>
      <c r="E47" s="16"/>
      <c r="F47" s="10"/>
      <c r="G47" s="11">
        <v>1259.526</v>
      </c>
      <c r="H47" s="5">
        <v>82.83912</v>
      </c>
      <c r="I47" s="11">
        <f t="shared" si="1"/>
        <v>1342.3651200000002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31.5">
      <c r="A48" s="4" t="s">
        <v>124</v>
      </c>
      <c r="B48" s="10" t="s">
        <v>164</v>
      </c>
      <c r="C48" s="10" t="s">
        <v>103</v>
      </c>
      <c r="D48" s="10">
        <v>0.121</v>
      </c>
      <c r="E48" s="10">
        <v>3</v>
      </c>
      <c r="F48" s="10">
        <f t="shared" si="0"/>
        <v>2.879</v>
      </c>
      <c r="G48" s="11">
        <v>106.24100000000001</v>
      </c>
      <c r="H48" s="5">
        <v>33.917519999999996</v>
      </c>
      <c r="I48" s="11">
        <f t="shared" si="1"/>
        <v>140.15852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>
      <c r="A49" s="4" t="s">
        <v>125</v>
      </c>
      <c r="B49" s="10" t="s">
        <v>93</v>
      </c>
      <c r="C49" s="10" t="s">
        <v>92</v>
      </c>
      <c r="D49" s="10">
        <v>0.235</v>
      </c>
      <c r="E49" s="10">
        <v>3</v>
      </c>
      <c r="F49" s="10">
        <f t="shared" si="0"/>
        <v>2.765</v>
      </c>
      <c r="G49" s="11">
        <v>170.91500000000002</v>
      </c>
      <c r="H49" s="5">
        <v>136.7184</v>
      </c>
      <c r="I49" s="11">
        <f t="shared" si="1"/>
        <v>307.63340000000005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10" ht="15.75">
      <c r="A50" s="4" t="s">
        <v>126</v>
      </c>
      <c r="B50" s="6" t="s">
        <v>118</v>
      </c>
      <c r="C50" s="6" t="s">
        <v>117</v>
      </c>
      <c r="D50" s="6">
        <v>0.107</v>
      </c>
      <c r="E50" s="6">
        <v>2</v>
      </c>
      <c r="F50" s="10">
        <f t="shared" si="0"/>
        <v>1.893</v>
      </c>
      <c r="G50" s="11">
        <v>104.94900000000003</v>
      </c>
      <c r="H50" s="7">
        <v>30.7944</v>
      </c>
      <c r="I50" s="11">
        <f t="shared" si="1"/>
        <v>135.74340000000004</v>
      </c>
      <c r="J50" s="3"/>
    </row>
    <row r="51" spans="1:10" ht="15.75">
      <c r="A51" s="4" t="s">
        <v>127</v>
      </c>
      <c r="B51" s="6" t="s">
        <v>122</v>
      </c>
      <c r="C51" s="6" t="s">
        <v>121</v>
      </c>
      <c r="D51" s="6">
        <v>0.124</v>
      </c>
      <c r="E51" s="6">
        <v>3</v>
      </c>
      <c r="F51" s="10">
        <f t="shared" si="0"/>
        <v>2.876</v>
      </c>
      <c r="G51" s="11">
        <v>107.31</v>
      </c>
      <c r="H51" s="6">
        <v>21.84</v>
      </c>
      <c r="I51" s="11">
        <f t="shared" si="1"/>
        <v>129.15</v>
      </c>
      <c r="J51" s="3"/>
    </row>
    <row r="52" spans="1:23" ht="47.25">
      <c r="A52" s="4" t="s">
        <v>128</v>
      </c>
      <c r="B52" s="10" t="s">
        <v>91</v>
      </c>
      <c r="C52" s="10" t="s">
        <v>90</v>
      </c>
      <c r="D52" s="10">
        <v>1.57</v>
      </c>
      <c r="E52" s="10">
        <v>10</v>
      </c>
      <c r="F52" s="10">
        <f t="shared" si="0"/>
        <v>8.43</v>
      </c>
      <c r="G52" s="11">
        <v>1654.7689999999998</v>
      </c>
      <c r="H52" s="10">
        <v>3468.6288000000004</v>
      </c>
      <c r="I52" s="11">
        <f t="shared" si="1"/>
        <v>5123.397800000001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>
      <c r="A53" s="4" t="s">
        <v>129</v>
      </c>
      <c r="B53" s="10" t="s">
        <v>89</v>
      </c>
      <c r="C53" s="10" t="s">
        <v>88</v>
      </c>
      <c r="D53" s="10">
        <v>0.19</v>
      </c>
      <c r="E53" s="10">
        <v>2</v>
      </c>
      <c r="F53" s="10">
        <f t="shared" si="0"/>
        <v>1.81</v>
      </c>
      <c r="G53" s="11">
        <v>192.91799999999995</v>
      </c>
      <c r="H53" s="10">
        <f>34*24*91/1000</f>
        <v>74.256</v>
      </c>
      <c r="I53" s="5">
        <f>SUM(G53:H53)</f>
        <v>267.174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>
      <c r="A54" s="4" t="s">
        <v>130</v>
      </c>
      <c r="B54" s="10" t="s">
        <v>57</v>
      </c>
      <c r="C54" s="10" t="s">
        <v>56</v>
      </c>
      <c r="D54" s="10">
        <v>0.19</v>
      </c>
      <c r="E54" s="10">
        <v>2</v>
      </c>
      <c r="F54" s="10">
        <f t="shared" si="0"/>
        <v>1.81</v>
      </c>
      <c r="G54" s="11">
        <v>165.34499999999997</v>
      </c>
      <c r="H54" s="10">
        <v>100.464</v>
      </c>
      <c r="I54" s="11">
        <f t="shared" si="1"/>
        <v>265.80899999999997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10" ht="15.75">
      <c r="A55" s="4" t="s">
        <v>131</v>
      </c>
      <c r="B55" s="6" t="s">
        <v>120</v>
      </c>
      <c r="C55" s="6" t="s">
        <v>119</v>
      </c>
      <c r="D55" s="6">
        <v>0.086</v>
      </c>
      <c r="E55" s="6">
        <v>2</v>
      </c>
      <c r="F55" s="10">
        <f t="shared" si="0"/>
        <v>1.914</v>
      </c>
      <c r="G55" s="11">
        <v>85.417</v>
      </c>
      <c r="H55" s="6">
        <v>32.76</v>
      </c>
      <c r="I55" s="11">
        <f t="shared" si="1"/>
        <v>118.17699999999999</v>
      </c>
      <c r="J55" s="3"/>
    </row>
    <row r="56" spans="1:10" ht="15.75">
      <c r="A56" s="17" t="s">
        <v>154</v>
      </c>
      <c r="B56" s="18"/>
      <c r="C56" s="19"/>
      <c r="D56" s="8">
        <f>SUM(D5:D55)</f>
        <v>275.03700000000003</v>
      </c>
      <c r="E56" s="8"/>
      <c r="F56" s="8"/>
      <c r="G56" s="8">
        <f>SUM(G5:G55)</f>
        <v>118075.74597599996</v>
      </c>
      <c r="H56" s="8">
        <f>SUM(H5:H55)</f>
        <v>91095.63976</v>
      </c>
      <c r="I56" s="8">
        <f>SUM(I5:I55)</f>
        <v>209171.38573599994</v>
      </c>
      <c r="J56" s="3"/>
    </row>
    <row r="57" spans="1:10" ht="15.75">
      <c r="A57" s="2"/>
      <c r="B57" s="3"/>
      <c r="C57" s="3"/>
      <c r="D57" s="3"/>
      <c r="E57" s="3"/>
      <c r="F57" s="3"/>
      <c r="G57" s="3"/>
      <c r="H57" s="3"/>
      <c r="I57" s="3"/>
      <c r="J57" s="3"/>
    </row>
    <row r="58" spans="1:10" ht="15.75">
      <c r="A58" s="2"/>
      <c r="B58" s="3"/>
      <c r="C58" s="3"/>
      <c r="D58" s="3"/>
      <c r="E58" s="3"/>
      <c r="F58" s="3"/>
      <c r="G58" s="3"/>
      <c r="H58" s="3"/>
      <c r="I58" s="3"/>
      <c r="J58" s="3"/>
    </row>
    <row r="59" spans="1:10" ht="15.75">
      <c r="A59" s="2"/>
      <c r="B59" s="3"/>
      <c r="C59" s="3"/>
      <c r="D59" s="3"/>
      <c r="E59" s="3"/>
      <c r="F59" s="3"/>
      <c r="G59" s="3"/>
      <c r="H59" s="3"/>
      <c r="I59" s="3"/>
      <c r="J59" s="3"/>
    </row>
    <row r="60" spans="1:10" ht="15.75">
      <c r="A60" s="2"/>
      <c r="B60" s="3"/>
      <c r="C60" s="3"/>
      <c r="D60" s="3"/>
      <c r="E60" s="3"/>
      <c r="F60" s="3"/>
      <c r="G60" s="3"/>
      <c r="H60" s="3"/>
      <c r="I60" s="3"/>
      <c r="J60" s="3"/>
    </row>
    <row r="61" spans="1:10" ht="15.75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 ht="15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5.75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5.75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5.75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5.75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2:10" ht="15.75">
      <c r="B68" s="3"/>
      <c r="C68" s="3"/>
      <c r="D68" s="3"/>
      <c r="E68" s="3"/>
      <c r="F68" s="3"/>
      <c r="G68" s="3"/>
      <c r="H68" s="3"/>
      <c r="I68" s="3"/>
      <c r="J68" s="3"/>
    </row>
    <row r="69" spans="2:10" ht="15.75">
      <c r="B69" s="3"/>
      <c r="C69" s="3"/>
      <c r="D69" s="3"/>
      <c r="E69" s="3"/>
      <c r="F69" s="3"/>
      <c r="G69" s="3"/>
      <c r="H69" s="3"/>
      <c r="I69" s="3"/>
      <c r="J69" s="3"/>
    </row>
    <row r="70" spans="2:10" ht="15.75">
      <c r="B70" s="3"/>
      <c r="C70" s="3"/>
      <c r="D70" s="3"/>
      <c r="E70" s="3"/>
      <c r="F70" s="3"/>
      <c r="G70" s="3"/>
      <c r="H70" s="3"/>
      <c r="I70" s="3"/>
      <c r="J70" s="3"/>
    </row>
    <row r="71" spans="2:10" ht="15.75">
      <c r="B71" s="3"/>
      <c r="C71" s="3"/>
      <c r="D71" s="3"/>
      <c r="E71" s="3"/>
      <c r="F71" s="3"/>
      <c r="G71" s="3"/>
      <c r="H71" s="3"/>
      <c r="I71" s="3"/>
      <c r="J71" s="3"/>
    </row>
    <row r="72" spans="2:10" ht="15.75">
      <c r="B72" s="3"/>
      <c r="C72" s="3"/>
      <c r="D72" s="3"/>
      <c r="E72" s="3"/>
      <c r="F72" s="3"/>
      <c r="G72" s="3"/>
      <c r="H72" s="3"/>
      <c r="I72" s="3"/>
      <c r="J72" s="3"/>
    </row>
    <row r="73" spans="2:10" ht="15.75">
      <c r="B73" s="3"/>
      <c r="C73" s="3"/>
      <c r="D73" s="3"/>
      <c r="E73" s="3"/>
      <c r="F73" s="3"/>
      <c r="G73" s="3"/>
      <c r="H73" s="3"/>
      <c r="I73" s="3"/>
      <c r="J73" s="3"/>
    </row>
    <row r="74" spans="2:10" ht="15.75">
      <c r="B74" s="3"/>
      <c r="C74" s="3"/>
      <c r="D74" s="3"/>
      <c r="E74" s="3"/>
      <c r="F74" s="3"/>
      <c r="G74" s="3"/>
      <c r="H74" s="3"/>
      <c r="I74" s="3"/>
      <c r="J74" s="3"/>
    </row>
    <row r="75" spans="2:10" ht="15.75">
      <c r="B75" s="3"/>
      <c r="C75" s="3"/>
      <c r="D75" s="3"/>
      <c r="E75" s="3"/>
      <c r="F75" s="3"/>
      <c r="G75" s="3"/>
      <c r="H75" s="3"/>
      <c r="I75" s="3"/>
      <c r="J75" s="3"/>
    </row>
    <row r="76" spans="2:10" ht="15.75">
      <c r="B76" s="3"/>
      <c r="C76" s="3"/>
      <c r="D76" s="3"/>
      <c r="E76" s="3"/>
      <c r="F76" s="3"/>
      <c r="G76" s="3"/>
      <c r="H76" s="3"/>
      <c r="I76" s="3"/>
      <c r="J76" s="3"/>
    </row>
    <row r="77" spans="2:10" ht="15.75">
      <c r="B77" s="3"/>
      <c r="C77" s="3"/>
      <c r="D77" s="3"/>
      <c r="E77" s="3"/>
      <c r="F77" s="3"/>
      <c r="G77" s="3"/>
      <c r="H77" s="3"/>
      <c r="I77" s="3"/>
      <c r="J77" s="3"/>
    </row>
    <row r="78" spans="2:10" ht="15.75">
      <c r="B78" s="3"/>
      <c r="C78" s="3"/>
      <c r="D78" s="3"/>
      <c r="E78" s="3"/>
      <c r="F78" s="3"/>
      <c r="G78" s="3"/>
      <c r="H78" s="3"/>
      <c r="I78" s="3"/>
      <c r="J78" s="3"/>
    </row>
    <row r="79" spans="2:10" ht="15.75">
      <c r="B79" s="3"/>
      <c r="C79" s="3"/>
      <c r="D79" s="3"/>
      <c r="E79" s="3"/>
      <c r="F79" s="3"/>
      <c r="G79" s="3"/>
      <c r="H79" s="3"/>
      <c r="I79" s="3"/>
      <c r="J79" s="3"/>
    </row>
    <row r="80" spans="2:10" ht="15.75">
      <c r="B80" s="3"/>
      <c r="C80" s="3"/>
      <c r="D80" s="3"/>
      <c r="E80" s="3"/>
      <c r="F80" s="3"/>
      <c r="G80" s="3"/>
      <c r="H80" s="3"/>
      <c r="I80" s="3"/>
      <c r="J80" s="3"/>
    </row>
    <row r="81" spans="2:10" ht="15.75">
      <c r="B81" s="3"/>
      <c r="C81" s="3"/>
      <c r="D81" s="3"/>
      <c r="E81" s="3"/>
      <c r="F81" s="3"/>
      <c r="G81" s="3"/>
      <c r="H81" s="3"/>
      <c r="I81" s="3"/>
      <c r="J81" s="3"/>
    </row>
    <row r="82" spans="2:10" ht="15.75">
      <c r="B82" s="3"/>
      <c r="C82" s="3"/>
      <c r="D82" s="3"/>
      <c r="E82" s="3"/>
      <c r="F82" s="3"/>
      <c r="G82" s="3"/>
      <c r="H82" s="3"/>
      <c r="I82" s="3"/>
      <c r="J82" s="3"/>
    </row>
    <row r="83" spans="2:10" ht="15.75">
      <c r="B83" s="3"/>
      <c r="C83" s="3"/>
      <c r="D83" s="3"/>
      <c r="E83" s="3"/>
      <c r="F83" s="3"/>
      <c r="G83" s="3"/>
      <c r="H83" s="3"/>
      <c r="I83" s="3"/>
      <c r="J83" s="3"/>
    </row>
    <row r="84" spans="2:10" ht="15.75">
      <c r="B84" s="3"/>
      <c r="C84" s="3"/>
      <c r="D84" s="3"/>
      <c r="E84" s="3"/>
      <c r="F84" s="3"/>
      <c r="G84" s="3"/>
      <c r="H84" s="3"/>
      <c r="I84" s="3"/>
      <c r="J84" s="3"/>
    </row>
    <row r="85" spans="2:10" ht="15.75">
      <c r="B85" s="3"/>
      <c r="C85" s="3"/>
      <c r="D85" s="3"/>
      <c r="E85" s="3"/>
      <c r="F85" s="3"/>
      <c r="G85" s="3"/>
      <c r="H85" s="3"/>
      <c r="I85" s="3"/>
      <c r="J85" s="3"/>
    </row>
    <row r="86" spans="2:10" ht="15.75">
      <c r="B86" s="3"/>
      <c r="C86" s="3"/>
      <c r="D86" s="3"/>
      <c r="E86" s="3"/>
      <c r="F86" s="3"/>
      <c r="G86" s="3"/>
      <c r="H86" s="3"/>
      <c r="I86" s="3"/>
      <c r="J86" s="3"/>
    </row>
    <row r="87" spans="2:10" ht="15.75">
      <c r="B87" s="3"/>
      <c r="C87" s="3"/>
      <c r="D87" s="3"/>
      <c r="E87" s="3"/>
      <c r="F87" s="3"/>
      <c r="G87" s="3"/>
      <c r="H87" s="3"/>
      <c r="I87" s="3"/>
      <c r="J87" s="3"/>
    </row>
    <row r="88" spans="2:10" ht="15.75">
      <c r="B88" s="3"/>
      <c r="C88" s="3"/>
      <c r="D88" s="3"/>
      <c r="E88" s="3"/>
      <c r="F88" s="3"/>
      <c r="G88" s="3"/>
      <c r="H88" s="3"/>
      <c r="I88" s="3"/>
      <c r="J88" s="3"/>
    </row>
    <row r="89" spans="2:10" ht="15.75">
      <c r="B89" s="3"/>
      <c r="C89" s="3"/>
      <c r="D89" s="3"/>
      <c r="E89" s="3"/>
      <c r="F89" s="3"/>
      <c r="G89" s="3"/>
      <c r="H89" s="3"/>
      <c r="I89" s="3"/>
      <c r="J89" s="3"/>
    </row>
    <row r="90" spans="2:10" ht="15.75">
      <c r="B90" s="3"/>
      <c r="C90" s="3"/>
      <c r="D90" s="3"/>
      <c r="E90" s="3"/>
      <c r="F90" s="3"/>
      <c r="G90" s="3"/>
      <c r="H90" s="3"/>
      <c r="I90" s="3"/>
      <c r="J90" s="3"/>
    </row>
    <row r="91" spans="2:10" ht="15.75">
      <c r="B91" s="3"/>
      <c r="C91" s="3"/>
      <c r="D91" s="3"/>
      <c r="E91" s="3"/>
      <c r="F91" s="3"/>
      <c r="G91" s="3"/>
      <c r="H91" s="3"/>
      <c r="I91" s="3"/>
      <c r="J91" s="3"/>
    </row>
    <row r="92" spans="2:10" ht="15.75">
      <c r="B92" s="3"/>
      <c r="C92" s="3"/>
      <c r="D92" s="3"/>
      <c r="E92" s="3"/>
      <c r="F92" s="3"/>
      <c r="G92" s="3"/>
      <c r="H92" s="3"/>
      <c r="I92" s="3"/>
      <c r="J92" s="3"/>
    </row>
    <row r="93" spans="2:10" ht="15.75">
      <c r="B93" s="3"/>
      <c r="C93" s="3"/>
      <c r="D93" s="3"/>
      <c r="E93" s="3"/>
      <c r="F93" s="3"/>
      <c r="G93" s="3"/>
      <c r="H93" s="3"/>
      <c r="I93" s="3"/>
      <c r="J93" s="3"/>
    </row>
    <row r="94" spans="2:10" ht="15.75">
      <c r="B94" s="3"/>
      <c r="C94" s="3"/>
      <c r="D94" s="3"/>
      <c r="E94" s="3"/>
      <c r="F94" s="3"/>
      <c r="G94" s="3"/>
      <c r="H94" s="3"/>
      <c r="I94" s="3"/>
      <c r="J94" s="3"/>
    </row>
    <row r="95" spans="2:10" ht="15.75">
      <c r="B95" s="3"/>
      <c r="C95" s="3"/>
      <c r="D95" s="3"/>
      <c r="E95" s="3"/>
      <c r="F95" s="3"/>
      <c r="G95" s="3"/>
      <c r="H95" s="3"/>
      <c r="I95" s="3"/>
      <c r="J95" s="3"/>
    </row>
    <row r="96" spans="2:10" ht="15.75">
      <c r="B96" s="3"/>
      <c r="C96" s="3"/>
      <c r="D96" s="3"/>
      <c r="E96" s="3"/>
      <c r="F96" s="3"/>
      <c r="G96" s="3"/>
      <c r="H96" s="3"/>
      <c r="I96" s="3"/>
      <c r="J96" s="3"/>
    </row>
    <row r="97" spans="2:10" ht="15.75">
      <c r="B97" s="3"/>
      <c r="C97" s="3"/>
      <c r="D97" s="3"/>
      <c r="E97" s="3"/>
      <c r="F97" s="3"/>
      <c r="G97" s="3"/>
      <c r="H97" s="3"/>
      <c r="I97" s="3"/>
      <c r="J97" s="3"/>
    </row>
    <row r="98" spans="2:10" ht="15.75">
      <c r="B98" s="3"/>
      <c r="C98" s="3"/>
      <c r="D98" s="3"/>
      <c r="E98" s="3"/>
      <c r="F98" s="3"/>
      <c r="G98" s="3"/>
      <c r="H98" s="3"/>
      <c r="I98" s="3"/>
      <c r="J98" s="3"/>
    </row>
    <row r="99" spans="2:10" ht="15.75">
      <c r="B99" s="3"/>
      <c r="C99" s="3"/>
      <c r="D99" s="3"/>
      <c r="E99" s="3"/>
      <c r="F99" s="3"/>
      <c r="G99" s="3"/>
      <c r="H99" s="3"/>
      <c r="I99" s="3"/>
      <c r="J99" s="3"/>
    </row>
    <row r="100" spans="2:10" ht="15.7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5.7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5.7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5.7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5.7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5.7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5.7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5.75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5.75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5.75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5.7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5.7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5.75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5.75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5.75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5.7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.75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5.7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5.7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5.7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5.7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5.75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5.7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5.75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5.7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5.7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5.7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5.7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5.7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5.7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5.7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5.7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5.75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5.7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5.75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5.75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5.75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5.75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5.75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5.75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5.75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5.75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5.75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5.75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5.75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5.75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5.75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5.75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5.75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5.75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5.75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5.75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5.75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5.75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5.75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5.75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5.75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5.75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5.75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5.75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5.75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5.75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5.75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5.75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5.75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5.75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5.75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5.75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5.75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15.75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15.75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15.75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15.75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15.75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15.75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5.75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5.75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5.75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5.75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5.75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5.75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5.75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5.75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5.75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5.75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5.75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5.75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5.75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5.75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5.75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5.75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5.75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5.75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5.75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5.75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5.75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5.75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5.75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5.75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5.75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5.75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5.75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5.75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5.75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5.75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5.75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5.75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5.75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5.75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5.75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5.75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5.75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5.75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5.75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5.75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5.75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5.75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5.75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5.75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5.75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5.75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5.75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5.75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5.75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5.75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5.75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5.75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5.75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5.75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5.75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5.75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5.75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5.75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5.75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5.75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5.75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5.75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5.75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5.75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5.75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5.75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5.75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5.75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5.7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5.75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5.7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5.75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5.75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5.75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5.75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5.75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5.75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5.75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5.75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5.75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5.75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5.75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5.75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5.75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5.75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5.75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5.75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5.75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5.75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5.75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5.75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5.75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5.75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5.75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5.75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5.75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5.75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5.75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5.75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5.75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5.75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15.75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15.75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15.75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15.75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15.75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15.75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15.75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15.75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15.75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15.75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15.75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15.75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15.75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15.75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15.75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5.75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15.75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15.75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15.75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15.75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15.75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15.75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15.75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15.75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15.75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15.75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15.75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15.75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15.75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15.75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15.75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15.75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15.75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15.75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15.75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15.75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15.75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15.75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15.75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15.75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15.75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15.75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15.75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15.75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15.75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15.75">
      <c r="B321" s="3"/>
      <c r="C321" s="3"/>
      <c r="D321" s="3"/>
      <c r="E321" s="3"/>
      <c r="F321" s="3"/>
      <c r="G321" s="3"/>
      <c r="H321" s="3"/>
      <c r="I321" s="3"/>
      <c r="J321" s="3"/>
    </row>
  </sheetData>
  <sheetProtection/>
  <mergeCells count="8">
    <mergeCell ref="D47:E47"/>
    <mergeCell ref="A56:C56"/>
    <mergeCell ref="A2:I2"/>
    <mergeCell ref="A3:A4"/>
    <mergeCell ref="B3:B4"/>
    <mergeCell ref="C3:C4"/>
    <mergeCell ref="D3:F3"/>
    <mergeCell ref="G3:I3"/>
  </mergeCells>
  <printOptions/>
  <pageMargins left="0.7" right="0.7" top="0.75" bottom="0.75" header="0.3" footer="0.3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1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17" sqref="G17"/>
    </sheetView>
  </sheetViews>
  <sheetFormatPr defaultColWidth="9.140625" defaultRowHeight="15"/>
  <cols>
    <col min="1" max="1" width="6.140625" style="0" customWidth="1"/>
    <col min="2" max="2" width="18.00390625" style="0" customWidth="1"/>
    <col min="3" max="3" width="24.28125" style="0" customWidth="1"/>
    <col min="4" max="4" width="23.00390625" style="0" customWidth="1"/>
    <col min="5" max="5" width="22.7109375" style="0" customWidth="1"/>
    <col min="6" max="6" width="24.421875" style="0" customWidth="1"/>
    <col min="7" max="7" width="20.00390625" style="0" customWidth="1"/>
    <col min="8" max="8" width="28.28125" style="0" customWidth="1"/>
    <col min="9" max="9" width="21.574218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9" t="s">
        <v>155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52.5" customHeight="1">
      <c r="A2" s="20" t="s">
        <v>168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21" t="s">
        <v>2</v>
      </c>
      <c r="B3" s="21" t="s">
        <v>1</v>
      </c>
      <c r="C3" s="21" t="s">
        <v>9</v>
      </c>
      <c r="D3" s="22" t="s">
        <v>0</v>
      </c>
      <c r="E3" s="23"/>
      <c r="F3" s="24"/>
      <c r="G3" s="21" t="s">
        <v>3</v>
      </c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60.75" customHeight="1">
      <c r="A4" s="21"/>
      <c r="B4" s="21"/>
      <c r="C4" s="21"/>
      <c r="D4" s="10" t="s">
        <v>166</v>
      </c>
      <c r="E4" s="10" t="s">
        <v>156</v>
      </c>
      <c r="F4" s="10" t="s">
        <v>167</v>
      </c>
      <c r="G4" s="10" t="s">
        <v>4</v>
      </c>
      <c r="H4" s="10" t="s">
        <v>5</v>
      </c>
      <c r="I4" s="10" t="s">
        <v>16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78.75">
      <c r="A5" s="4" t="s">
        <v>6</v>
      </c>
      <c r="B5" s="10" t="s">
        <v>7</v>
      </c>
      <c r="C5" s="10" t="s">
        <v>20</v>
      </c>
      <c r="D5" s="10">
        <v>198.92</v>
      </c>
      <c r="E5" s="10">
        <v>235</v>
      </c>
      <c r="F5" s="10">
        <f>E5-D5</f>
        <v>36.08000000000001</v>
      </c>
      <c r="G5" s="11">
        <f>2538.424+59980.146</f>
        <v>62518.57</v>
      </c>
      <c r="H5" s="12">
        <v>15080.52</v>
      </c>
      <c r="I5" s="11">
        <f>G5+H5</f>
        <v>77599.09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>
      <c r="A6" s="4" t="s">
        <v>11</v>
      </c>
      <c r="B6" s="10" t="s">
        <v>102</v>
      </c>
      <c r="C6" s="10" t="s">
        <v>101</v>
      </c>
      <c r="D6" s="10">
        <v>1.45</v>
      </c>
      <c r="E6" s="10">
        <v>10</v>
      </c>
      <c r="F6" s="10">
        <f aca="true" t="shared" si="0" ref="F6:F55">E6-D6</f>
        <v>8.55</v>
      </c>
      <c r="G6" s="11">
        <v>216.126</v>
      </c>
      <c r="H6" s="11">
        <v>18.06168</v>
      </c>
      <c r="I6" s="11">
        <f aca="true" t="shared" si="1" ref="I6:I55">G6+H6</f>
        <v>234.18768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47.25">
      <c r="A7" s="4" t="s">
        <v>14</v>
      </c>
      <c r="B7" s="10" t="s">
        <v>25</v>
      </c>
      <c r="C7" s="10" t="s">
        <v>23</v>
      </c>
      <c r="D7" s="10">
        <v>5.89</v>
      </c>
      <c r="E7" s="10">
        <v>10</v>
      </c>
      <c r="F7" s="10">
        <f t="shared" si="0"/>
        <v>4.11</v>
      </c>
      <c r="G7" s="12">
        <v>1144.011</v>
      </c>
      <c r="H7" s="11">
        <v>9207.04512</v>
      </c>
      <c r="I7" s="11">
        <f t="shared" si="1"/>
        <v>10351.056120000001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1.5">
      <c r="A8" s="4" t="s">
        <v>18</v>
      </c>
      <c r="B8" s="10" t="s">
        <v>12</v>
      </c>
      <c r="C8" s="10" t="s">
        <v>10</v>
      </c>
      <c r="D8" s="10">
        <v>5.66</v>
      </c>
      <c r="E8" s="10">
        <v>10</v>
      </c>
      <c r="F8" s="10">
        <f t="shared" si="0"/>
        <v>4.34</v>
      </c>
      <c r="G8" s="12">
        <v>798.515</v>
      </c>
      <c r="H8" s="12">
        <v>5569.2</v>
      </c>
      <c r="I8" s="11">
        <f t="shared" si="1"/>
        <v>6367.715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10" ht="15.75">
      <c r="A9" s="4" t="s">
        <v>22</v>
      </c>
      <c r="B9" s="6" t="s">
        <v>137</v>
      </c>
      <c r="C9" s="6" t="s">
        <v>136</v>
      </c>
      <c r="D9" s="6">
        <v>0.61</v>
      </c>
      <c r="E9" s="6">
        <v>2</v>
      </c>
      <c r="F9" s="10">
        <f t="shared" si="0"/>
        <v>1.3900000000000001</v>
      </c>
      <c r="G9" s="6">
        <v>114.501</v>
      </c>
      <c r="H9" s="7">
        <v>113.3496</v>
      </c>
      <c r="I9" s="11">
        <f t="shared" si="1"/>
        <v>227.8506</v>
      </c>
      <c r="J9" s="3"/>
    </row>
    <row r="10" spans="1:23" ht="31.5">
      <c r="A10" s="4" t="s">
        <v>24</v>
      </c>
      <c r="B10" s="10" t="s">
        <v>17</v>
      </c>
      <c r="C10" s="10" t="s">
        <v>19</v>
      </c>
      <c r="D10" s="10">
        <v>3.54</v>
      </c>
      <c r="E10" s="10">
        <v>5</v>
      </c>
      <c r="F10" s="10">
        <f t="shared" si="0"/>
        <v>1.46</v>
      </c>
      <c r="G10" s="10">
        <v>691.131</v>
      </c>
      <c r="H10" s="10">
        <v>2950.584</v>
      </c>
      <c r="I10" s="11">
        <f t="shared" si="1"/>
        <v>3641.7149999999997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10" ht="15.75">
      <c r="A11" s="4" t="s">
        <v>26</v>
      </c>
      <c r="B11" s="6" t="s">
        <v>139</v>
      </c>
      <c r="C11" s="6" t="s">
        <v>138</v>
      </c>
      <c r="D11" s="6">
        <v>0.17</v>
      </c>
      <c r="E11" s="6">
        <v>1</v>
      </c>
      <c r="F11" s="10">
        <f t="shared" si="0"/>
        <v>0.83</v>
      </c>
      <c r="G11" s="6">
        <v>239.412</v>
      </c>
      <c r="H11" s="7">
        <v>139.5576</v>
      </c>
      <c r="I11" s="11">
        <f t="shared" si="1"/>
        <v>378.9696</v>
      </c>
      <c r="J11" s="3"/>
    </row>
    <row r="12" spans="1:23" ht="15.75">
      <c r="A12" s="4" t="s">
        <v>27</v>
      </c>
      <c r="B12" s="10" t="s">
        <v>106</v>
      </c>
      <c r="C12" s="10" t="s">
        <v>105</v>
      </c>
      <c r="D12" s="10">
        <v>1.44</v>
      </c>
      <c r="E12" s="10">
        <v>5</v>
      </c>
      <c r="F12" s="10">
        <f t="shared" si="0"/>
        <v>3.56</v>
      </c>
      <c r="G12" s="10">
        <v>229.527</v>
      </c>
      <c r="H12" s="5">
        <v>1278.0768</v>
      </c>
      <c r="I12" s="11">
        <f t="shared" si="1"/>
        <v>1507.6038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75">
      <c r="A13" s="4" t="s">
        <v>28</v>
      </c>
      <c r="B13" s="10" t="s">
        <v>53</v>
      </c>
      <c r="C13" s="10" t="s">
        <v>146</v>
      </c>
      <c r="D13" s="10">
        <v>0.64</v>
      </c>
      <c r="E13" s="10">
        <v>2</v>
      </c>
      <c r="F13" s="10">
        <f t="shared" si="0"/>
        <v>1.3599999999999999</v>
      </c>
      <c r="G13" s="10">
        <v>74.009</v>
      </c>
      <c r="H13" s="5">
        <v>599.9448</v>
      </c>
      <c r="I13" s="11">
        <f t="shared" si="1"/>
        <v>673.9538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1.5">
      <c r="A14" s="4" t="s">
        <v>29</v>
      </c>
      <c r="B14" s="10" t="s">
        <v>147</v>
      </c>
      <c r="C14" s="10" t="s">
        <v>148</v>
      </c>
      <c r="D14" s="10">
        <v>1.24</v>
      </c>
      <c r="E14" s="10">
        <v>2.5</v>
      </c>
      <c r="F14" s="10">
        <f t="shared" si="0"/>
        <v>1.26</v>
      </c>
      <c r="G14" s="13"/>
      <c r="H14" s="5">
        <v>1886.7576</v>
      </c>
      <c r="I14" s="11">
        <f t="shared" si="1"/>
        <v>1886.7576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>
      <c r="A15" s="4" t="s">
        <v>30</v>
      </c>
      <c r="B15" s="10" t="s">
        <v>151</v>
      </c>
      <c r="C15" s="10" t="s">
        <v>152</v>
      </c>
      <c r="D15" s="10">
        <v>0.06</v>
      </c>
      <c r="E15" s="10">
        <v>1</v>
      </c>
      <c r="F15" s="10">
        <f t="shared" si="0"/>
        <v>0.94</v>
      </c>
      <c r="G15" s="14"/>
      <c r="H15" s="5">
        <v>2572.5336</v>
      </c>
      <c r="I15" s="11">
        <f t="shared" si="1"/>
        <v>2572.5336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>
      <c r="A16" s="4" t="s">
        <v>31</v>
      </c>
      <c r="B16" s="10" t="s">
        <v>99</v>
      </c>
      <c r="C16" s="10" t="s">
        <v>98</v>
      </c>
      <c r="D16" s="10">
        <v>3.9</v>
      </c>
      <c r="E16" s="10">
        <v>20</v>
      </c>
      <c r="F16" s="10">
        <f t="shared" si="0"/>
        <v>16.1</v>
      </c>
      <c r="G16" s="10">
        <v>599.519</v>
      </c>
      <c r="H16" s="5">
        <v>2421.1823999999997</v>
      </c>
      <c r="I16" s="11">
        <f t="shared" si="1"/>
        <v>3020.7014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>
      <c r="A17" s="4" t="s">
        <v>32</v>
      </c>
      <c r="B17" s="10" t="s">
        <v>149</v>
      </c>
      <c r="C17" s="10" t="s">
        <v>150</v>
      </c>
      <c r="D17" s="10">
        <v>0.07</v>
      </c>
      <c r="E17" s="10">
        <v>1</v>
      </c>
      <c r="F17" s="10">
        <f t="shared" si="0"/>
        <v>0.9299999999999999</v>
      </c>
      <c r="G17" s="14"/>
      <c r="H17" s="10">
        <v>6782.412</v>
      </c>
      <c r="I17" s="11">
        <f t="shared" si="1"/>
        <v>6782.412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78.75">
      <c r="A18" s="4" t="s">
        <v>33</v>
      </c>
      <c r="B18" s="10" t="s">
        <v>165</v>
      </c>
      <c r="C18" s="10" t="s">
        <v>21</v>
      </c>
      <c r="D18" s="10">
        <v>22.85</v>
      </c>
      <c r="E18" s="10">
        <v>43</v>
      </c>
      <c r="F18" s="10">
        <f t="shared" si="0"/>
        <v>20.15</v>
      </c>
      <c r="G18" s="10">
        <v>8785.125</v>
      </c>
      <c r="H18" s="10">
        <v>1382.472</v>
      </c>
      <c r="I18" s="11">
        <f t="shared" si="1"/>
        <v>10167.597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47.25">
      <c r="A19" s="4" t="s">
        <v>34</v>
      </c>
      <c r="B19" s="10" t="s">
        <v>108</v>
      </c>
      <c r="C19" s="10" t="s">
        <v>107</v>
      </c>
      <c r="D19" s="10">
        <v>2.61</v>
      </c>
      <c r="E19" s="10">
        <v>20</v>
      </c>
      <c r="F19" s="10">
        <f t="shared" si="0"/>
        <v>17.39</v>
      </c>
      <c r="G19" s="10">
        <v>431.172</v>
      </c>
      <c r="H19" s="10">
        <v>620.256</v>
      </c>
      <c r="I19" s="11">
        <f t="shared" si="1"/>
        <v>1051.4279999999999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10" ht="15.75">
      <c r="A20" s="4" t="s">
        <v>35</v>
      </c>
      <c r="B20" s="6" t="s">
        <v>141</v>
      </c>
      <c r="C20" s="6" t="s">
        <v>140</v>
      </c>
      <c r="D20" s="6">
        <v>0.56</v>
      </c>
      <c r="E20" s="6">
        <v>2</v>
      </c>
      <c r="F20" s="10">
        <f t="shared" si="0"/>
        <v>1.44</v>
      </c>
      <c r="G20" s="6">
        <v>112.878</v>
      </c>
      <c r="H20" s="6">
        <v>165.984</v>
      </c>
      <c r="I20" s="11">
        <f t="shared" si="1"/>
        <v>278.862</v>
      </c>
      <c r="J20" s="3"/>
    </row>
    <row r="21" spans="1:23" ht="31.5">
      <c r="A21" s="4" t="s">
        <v>36</v>
      </c>
      <c r="B21" s="10" t="s">
        <v>95</v>
      </c>
      <c r="C21" s="6" t="s">
        <v>94</v>
      </c>
      <c r="D21" s="10">
        <v>0.84</v>
      </c>
      <c r="E21" s="10">
        <v>2</v>
      </c>
      <c r="F21" s="10">
        <f t="shared" si="0"/>
        <v>1.1600000000000001</v>
      </c>
      <c r="G21" s="5">
        <v>161.89</v>
      </c>
      <c r="H21" s="10">
        <v>109.2</v>
      </c>
      <c r="I21" s="11">
        <f t="shared" si="1"/>
        <v>271.09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94.5">
      <c r="A22" s="4" t="s">
        <v>37</v>
      </c>
      <c r="B22" s="10" t="s">
        <v>15</v>
      </c>
      <c r="C22" s="10" t="s">
        <v>13</v>
      </c>
      <c r="D22" s="10">
        <v>11.26</v>
      </c>
      <c r="E22" s="10">
        <v>20</v>
      </c>
      <c r="F22" s="10">
        <f t="shared" si="0"/>
        <v>8.74</v>
      </c>
      <c r="G22" s="10">
        <v>1851.826</v>
      </c>
      <c r="H22" s="10">
        <v>31851.456</v>
      </c>
      <c r="I22" s="11">
        <f t="shared" si="1"/>
        <v>33703.282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1.5">
      <c r="A23" s="4" t="s">
        <v>38</v>
      </c>
      <c r="B23" s="10" t="s">
        <v>109</v>
      </c>
      <c r="C23" s="10" t="s">
        <v>110</v>
      </c>
      <c r="D23" s="10">
        <v>0.8</v>
      </c>
      <c r="E23" s="10">
        <v>2</v>
      </c>
      <c r="F23" s="10">
        <f t="shared" si="0"/>
        <v>1.2</v>
      </c>
      <c r="G23" s="10">
        <v>135.221</v>
      </c>
      <c r="H23" s="10">
        <v>227.136</v>
      </c>
      <c r="I23" s="11">
        <f t="shared" si="1"/>
        <v>362.35699999999997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10" ht="15.75">
      <c r="A24" s="4" t="s">
        <v>39</v>
      </c>
      <c r="B24" s="6" t="s">
        <v>143</v>
      </c>
      <c r="C24" s="6" t="s">
        <v>142</v>
      </c>
      <c r="D24" s="6">
        <v>0.21</v>
      </c>
      <c r="E24" s="6">
        <v>1</v>
      </c>
      <c r="F24" s="10">
        <f t="shared" si="0"/>
        <v>0.79</v>
      </c>
      <c r="G24" s="7">
        <v>29.05</v>
      </c>
      <c r="H24" s="6">
        <v>312.312</v>
      </c>
      <c r="I24" s="11">
        <f t="shared" si="1"/>
        <v>341.362</v>
      </c>
      <c r="J24" s="3"/>
    </row>
    <row r="25" spans="1:10" ht="15.75">
      <c r="A25" s="4" t="s">
        <v>40</v>
      </c>
      <c r="B25" s="6" t="s">
        <v>114</v>
      </c>
      <c r="C25" s="6" t="s">
        <v>113</v>
      </c>
      <c r="D25" s="6">
        <v>0.13</v>
      </c>
      <c r="E25" s="6">
        <v>2</v>
      </c>
      <c r="F25" s="10">
        <f t="shared" si="0"/>
        <v>1.87</v>
      </c>
      <c r="G25" s="6">
        <v>18.839</v>
      </c>
      <c r="H25" s="6">
        <v>251.16</v>
      </c>
      <c r="I25" s="11">
        <f t="shared" si="1"/>
        <v>269.999</v>
      </c>
      <c r="J25" s="3"/>
    </row>
    <row r="26" spans="1:10" ht="15.75">
      <c r="A26" s="4" t="s">
        <v>41</v>
      </c>
      <c r="B26" s="6" t="s">
        <v>115</v>
      </c>
      <c r="C26" s="6" t="s">
        <v>116</v>
      </c>
      <c r="D26" s="6">
        <v>0.75</v>
      </c>
      <c r="E26" s="6">
        <v>2</v>
      </c>
      <c r="F26" s="10">
        <f t="shared" si="0"/>
        <v>1.25</v>
      </c>
      <c r="G26" s="6">
        <v>122.769</v>
      </c>
      <c r="H26" s="6">
        <v>248.976</v>
      </c>
      <c r="I26" s="11">
        <f t="shared" si="1"/>
        <v>371.745</v>
      </c>
      <c r="J26" s="3"/>
    </row>
    <row r="27" spans="1:23" ht="15.75">
      <c r="A27" s="4" t="s">
        <v>42</v>
      </c>
      <c r="B27" s="10" t="s">
        <v>157</v>
      </c>
      <c r="C27" s="10" t="s">
        <v>158</v>
      </c>
      <c r="D27" s="10">
        <v>0.26</v>
      </c>
      <c r="E27" s="10">
        <v>2</v>
      </c>
      <c r="F27" s="10">
        <f t="shared" si="0"/>
        <v>1.74</v>
      </c>
      <c r="G27" s="10">
        <v>53.967</v>
      </c>
      <c r="H27" s="10">
        <v>10.92</v>
      </c>
      <c r="I27" s="11">
        <f t="shared" si="1"/>
        <v>64.887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>
      <c r="A28" s="4" t="s">
        <v>43</v>
      </c>
      <c r="B28" s="10" t="s">
        <v>159</v>
      </c>
      <c r="C28" s="10" t="s">
        <v>160</v>
      </c>
      <c r="D28" s="10">
        <v>0.17</v>
      </c>
      <c r="E28" s="10">
        <v>10</v>
      </c>
      <c r="F28" s="10">
        <f t="shared" si="0"/>
        <v>9.83</v>
      </c>
      <c r="G28" s="10">
        <v>29.124</v>
      </c>
      <c r="H28" s="10">
        <v>32.76</v>
      </c>
      <c r="I28" s="11">
        <f t="shared" si="1"/>
        <v>61.884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6.5" customHeight="1">
      <c r="A29" s="4" t="s">
        <v>44</v>
      </c>
      <c r="B29" s="10" t="s">
        <v>48</v>
      </c>
      <c r="C29" s="10" t="s">
        <v>47</v>
      </c>
      <c r="D29" s="10">
        <v>0.37</v>
      </c>
      <c r="E29" s="10">
        <v>2</v>
      </c>
      <c r="F29" s="10">
        <f t="shared" si="0"/>
        <v>1.63</v>
      </c>
      <c r="G29" s="10">
        <v>71.309</v>
      </c>
      <c r="H29" s="10">
        <v>32.76</v>
      </c>
      <c r="I29" s="11">
        <f t="shared" si="1"/>
        <v>104.06899999999999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>
      <c r="A30" s="4" t="s">
        <v>45</v>
      </c>
      <c r="B30" s="10" t="s">
        <v>112</v>
      </c>
      <c r="C30" s="10" t="s">
        <v>111</v>
      </c>
      <c r="D30" s="10">
        <v>0.28</v>
      </c>
      <c r="E30" s="10">
        <v>1</v>
      </c>
      <c r="F30" s="10">
        <f t="shared" si="0"/>
        <v>0.72</v>
      </c>
      <c r="G30" s="10">
        <v>51.218</v>
      </c>
      <c r="H30" s="10">
        <v>43.68</v>
      </c>
      <c r="I30" s="11">
        <f t="shared" si="1"/>
        <v>94.898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>
      <c r="A31" s="4" t="s">
        <v>46</v>
      </c>
      <c r="B31" s="10" t="s">
        <v>69</v>
      </c>
      <c r="C31" s="10" t="s">
        <v>68</v>
      </c>
      <c r="D31" s="10">
        <v>2.07</v>
      </c>
      <c r="E31" s="10">
        <v>5</v>
      </c>
      <c r="F31" s="10">
        <f t="shared" si="0"/>
        <v>2.93</v>
      </c>
      <c r="G31" s="10">
        <v>461.314</v>
      </c>
      <c r="H31" s="10">
        <v>32.76</v>
      </c>
      <c r="I31" s="11">
        <f t="shared" si="1"/>
        <v>494.074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>
      <c r="A32" s="4" t="s">
        <v>70</v>
      </c>
      <c r="B32" s="10" t="s">
        <v>170</v>
      </c>
      <c r="C32" s="10" t="s">
        <v>153</v>
      </c>
      <c r="D32" s="10">
        <v>0.66</v>
      </c>
      <c r="E32" s="10">
        <v>10</v>
      </c>
      <c r="F32" s="10">
        <f t="shared" si="0"/>
        <v>9.34</v>
      </c>
      <c r="G32" s="10">
        <v>96.466</v>
      </c>
      <c r="H32" s="10">
        <v>65.52</v>
      </c>
      <c r="I32" s="11">
        <f t="shared" si="1"/>
        <v>161.986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>
      <c r="A33" s="4" t="s">
        <v>71</v>
      </c>
      <c r="B33" s="10" t="s">
        <v>144</v>
      </c>
      <c r="C33" s="10" t="s">
        <v>145</v>
      </c>
      <c r="D33" s="10">
        <v>0.25</v>
      </c>
      <c r="E33" s="10">
        <v>1</v>
      </c>
      <c r="F33" s="10">
        <f t="shared" si="0"/>
        <v>0.75</v>
      </c>
      <c r="G33" s="10">
        <v>47.554</v>
      </c>
      <c r="H33" s="10">
        <v>21.84</v>
      </c>
      <c r="I33" s="11">
        <f t="shared" si="1"/>
        <v>69.394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>
      <c r="A34" s="4" t="s">
        <v>72</v>
      </c>
      <c r="B34" s="10" t="s">
        <v>161</v>
      </c>
      <c r="C34" s="10" t="s">
        <v>162</v>
      </c>
      <c r="D34" s="10">
        <v>0.37</v>
      </c>
      <c r="E34" s="10">
        <v>1</v>
      </c>
      <c r="F34" s="10">
        <f t="shared" si="0"/>
        <v>0.63</v>
      </c>
      <c r="G34" s="5">
        <v>64.04</v>
      </c>
      <c r="H34" s="10">
        <v>10.92</v>
      </c>
      <c r="I34" s="11">
        <f t="shared" si="1"/>
        <v>74.96000000000001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10" ht="15.75">
      <c r="A35" s="4" t="s">
        <v>73</v>
      </c>
      <c r="B35" s="6" t="s">
        <v>133</v>
      </c>
      <c r="C35" s="6" t="s">
        <v>132</v>
      </c>
      <c r="D35" s="6">
        <v>0.2</v>
      </c>
      <c r="E35" s="6">
        <v>1</v>
      </c>
      <c r="F35" s="10">
        <f t="shared" si="0"/>
        <v>0.8</v>
      </c>
      <c r="G35" s="6">
        <v>32.167</v>
      </c>
      <c r="H35" s="6">
        <v>0</v>
      </c>
      <c r="I35" s="11">
        <f t="shared" si="1"/>
        <v>32.167</v>
      </c>
      <c r="J35" s="3"/>
    </row>
    <row r="36" spans="1:10" ht="15.75">
      <c r="A36" s="4" t="s">
        <v>74</v>
      </c>
      <c r="B36" s="6" t="s">
        <v>135</v>
      </c>
      <c r="C36" s="6" t="s">
        <v>134</v>
      </c>
      <c r="D36" s="6">
        <v>0.38</v>
      </c>
      <c r="E36" s="6">
        <v>1</v>
      </c>
      <c r="F36" s="10">
        <f t="shared" si="0"/>
        <v>0.62</v>
      </c>
      <c r="G36" s="6">
        <v>62.639</v>
      </c>
      <c r="H36" s="6">
        <v>0</v>
      </c>
      <c r="I36" s="11">
        <f t="shared" si="1"/>
        <v>62.639</v>
      </c>
      <c r="J36" s="3"/>
    </row>
    <row r="37" spans="1:23" ht="15.75">
      <c r="A37" s="4" t="s">
        <v>75</v>
      </c>
      <c r="B37" s="10" t="s">
        <v>55</v>
      </c>
      <c r="C37" s="10" t="s">
        <v>54</v>
      </c>
      <c r="D37" s="10">
        <v>0.344</v>
      </c>
      <c r="E37" s="10">
        <v>2</v>
      </c>
      <c r="F37" s="10">
        <f t="shared" si="0"/>
        <v>1.6560000000000001</v>
      </c>
      <c r="G37" s="10">
        <v>173.824</v>
      </c>
      <c r="H37" s="10">
        <v>253.492</v>
      </c>
      <c r="I37" s="11">
        <f t="shared" si="1"/>
        <v>427.31600000000003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4" t="s">
        <v>76</v>
      </c>
      <c r="B38" s="10" t="s">
        <v>50</v>
      </c>
      <c r="C38" s="10" t="s">
        <v>49</v>
      </c>
      <c r="D38" s="10">
        <v>0.062</v>
      </c>
      <c r="E38" s="10">
        <v>1</v>
      </c>
      <c r="F38" s="10">
        <f t="shared" si="0"/>
        <v>0.938</v>
      </c>
      <c r="G38" s="10">
        <v>37.461</v>
      </c>
      <c r="H38" s="10">
        <v>174.72</v>
      </c>
      <c r="I38" s="11">
        <f t="shared" si="1"/>
        <v>212.18099999999998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>
      <c r="A39" s="4" t="s">
        <v>77</v>
      </c>
      <c r="B39" s="10" t="s">
        <v>52</v>
      </c>
      <c r="C39" s="10" t="s">
        <v>51</v>
      </c>
      <c r="D39" s="10">
        <v>0.24</v>
      </c>
      <c r="E39" s="10">
        <v>2</v>
      </c>
      <c r="F39" s="10">
        <f t="shared" si="0"/>
        <v>1.76</v>
      </c>
      <c r="G39" s="10">
        <v>68.112</v>
      </c>
      <c r="H39" s="10">
        <v>87.36</v>
      </c>
      <c r="I39" s="11">
        <f t="shared" si="1"/>
        <v>155.47199999999998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>
      <c r="A40" s="4" t="s">
        <v>78</v>
      </c>
      <c r="B40" s="10" t="s">
        <v>67</v>
      </c>
      <c r="C40" s="10" t="s">
        <v>66</v>
      </c>
      <c r="D40" s="10">
        <v>2.22</v>
      </c>
      <c r="E40" s="10">
        <v>10</v>
      </c>
      <c r="F40" s="10">
        <f t="shared" si="0"/>
        <v>7.779999999999999</v>
      </c>
      <c r="G40" s="10">
        <v>1638.077</v>
      </c>
      <c r="H40" s="5">
        <v>2317.5516000000002</v>
      </c>
      <c r="I40" s="11">
        <f t="shared" si="1"/>
        <v>3955.6286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31.5">
      <c r="A41" s="4" t="s">
        <v>79</v>
      </c>
      <c r="B41" s="10" t="s">
        <v>58</v>
      </c>
      <c r="C41" s="10" t="s">
        <v>59</v>
      </c>
      <c r="D41" s="10">
        <v>0.137</v>
      </c>
      <c r="E41" s="10">
        <v>2</v>
      </c>
      <c r="F41" s="10">
        <f t="shared" si="0"/>
        <v>1.863</v>
      </c>
      <c r="G41" s="10">
        <v>71.766</v>
      </c>
      <c r="H41" s="5">
        <v>46.58472</v>
      </c>
      <c r="I41" s="11">
        <f t="shared" si="1"/>
        <v>118.35072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8" customHeight="1">
      <c r="A42" s="4" t="s">
        <v>80</v>
      </c>
      <c r="B42" s="10" t="s">
        <v>61</v>
      </c>
      <c r="C42" s="10" t="s">
        <v>60</v>
      </c>
      <c r="D42" s="10">
        <v>0.166</v>
      </c>
      <c r="E42" s="10">
        <v>2</v>
      </c>
      <c r="F42" s="10">
        <f t="shared" si="0"/>
        <v>1.834</v>
      </c>
      <c r="G42" s="10">
        <v>101.544</v>
      </c>
      <c r="H42" s="10">
        <v>54.6</v>
      </c>
      <c r="I42" s="11">
        <f t="shared" si="1"/>
        <v>156.144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4" t="s">
        <v>81</v>
      </c>
      <c r="B43" s="10" t="s">
        <v>63</v>
      </c>
      <c r="C43" s="10" t="s">
        <v>62</v>
      </c>
      <c r="D43" s="10">
        <v>0.26</v>
      </c>
      <c r="E43" s="10">
        <v>5.8</v>
      </c>
      <c r="F43" s="10">
        <f t="shared" si="0"/>
        <v>5.54</v>
      </c>
      <c r="G43" s="10">
        <v>117.644</v>
      </c>
      <c r="H43" s="5">
        <v>20.966399999999997</v>
      </c>
      <c r="I43" s="11">
        <f t="shared" si="1"/>
        <v>138.6104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>
      <c r="A44" s="4" t="s">
        <v>82</v>
      </c>
      <c r="B44" s="10" t="s">
        <v>65</v>
      </c>
      <c r="C44" s="10" t="s">
        <v>64</v>
      </c>
      <c r="D44" s="10">
        <v>0.18</v>
      </c>
      <c r="E44" s="10">
        <v>3</v>
      </c>
      <c r="F44" s="10">
        <f t="shared" si="0"/>
        <v>2.82</v>
      </c>
      <c r="G44" s="5">
        <v>89.15</v>
      </c>
      <c r="H44" s="10">
        <v>27.3</v>
      </c>
      <c r="I44" s="11">
        <f t="shared" si="1"/>
        <v>116.45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>
      <c r="A45" s="4" t="s">
        <v>83</v>
      </c>
      <c r="B45" s="10" t="s">
        <v>85</v>
      </c>
      <c r="C45" s="10" t="s">
        <v>84</v>
      </c>
      <c r="D45" s="10">
        <v>0.086</v>
      </c>
      <c r="E45" s="10">
        <v>3</v>
      </c>
      <c r="F45" s="10">
        <f t="shared" si="0"/>
        <v>2.914</v>
      </c>
      <c r="G45" s="10">
        <v>57.181</v>
      </c>
      <c r="H45" s="5">
        <v>28.108079999999998</v>
      </c>
      <c r="I45" s="11">
        <f t="shared" si="1"/>
        <v>85.28908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>
      <c r="A46" s="4" t="s">
        <v>100</v>
      </c>
      <c r="B46" s="10" t="s">
        <v>87</v>
      </c>
      <c r="C46" s="10" t="s">
        <v>86</v>
      </c>
      <c r="D46" s="10">
        <v>0.109</v>
      </c>
      <c r="E46" s="10">
        <v>2</v>
      </c>
      <c r="F46" s="10">
        <f t="shared" si="0"/>
        <v>1.891</v>
      </c>
      <c r="G46" s="10">
        <v>69.031</v>
      </c>
      <c r="H46" s="5">
        <v>63.401520000000005</v>
      </c>
      <c r="I46" s="11">
        <f t="shared" si="1"/>
        <v>132.43252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31.5">
      <c r="A47" s="4" t="s">
        <v>123</v>
      </c>
      <c r="B47" s="10" t="s">
        <v>97</v>
      </c>
      <c r="C47" s="10" t="s">
        <v>96</v>
      </c>
      <c r="D47" s="15" t="s">
        <v>163</v>
      </c>
      <c r="E47" s="16"/>
      <c r="F47" s="10"/>
      <c r="G47" s="10">
        <v>866.298</v>
      </c>
      <c r="H47" s="5">
        <v>82.83912</v>
      </c>
      <c r="I47" s="11">
        <f t="shared" si="1"/>
        <v>949.13712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31.5">
      <c r="A48" s="4" t="s">
        <v>124</v>
      </c>
      <c r="B48" s="10" t="s">
        <v>164</v>
      </c>
      <c r="C48" s="10" t="s">
        <v>103</v>
      </c>
      <c r="D48" s="10">
        <v>0.121</v>
      </c>
      <c r="E48" s="10">
        <v>3</v>
      </c>
      <c r="F48" s="10">
        <f t="shared" si="0"/>
        <v>2.879</v>
      </c>
      <c r="G48" s="5">
        <v>69.41</v>
      </c>
      <c r="H48" s="5">
        <v>33.917519999999996</v>
      </c>
      <c r="I48" s="11">
        <f t="shared" si="1"/>
        <v>103.32751999999999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>
      <c r="A49" s="4" t="s">
        <v>125</v>
      </c>
      <c r="B49" s="10" t="s">
        <v>93</v>
      </c>
      <c r="C49" s="10" t="s">
        <v>92</v>
      </c>
      <c r="D49" s="10">
        <v>0.235</v>
      </c>
      <c r="E49" s="10">
        <v>3</v>
      </c>
      <c r="F49" s="10">
        <f t="shared" si="0"/>
        <v>2.765</v>
      </c>
      <c r="G49" s="10">
        <v>116.166</v>
      </c>
      <c r="H49" s="5">
        <v>136.7184</v>
      </c>
      <c r="I49" s="11">
        <f t="shared" si="1"/>
        <v>252.8844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10" ht="15.75">
      <c r="A50" s="4" t="s">
        <v>126</v>
      </c>
      <c r="B50" s="6" t="s">
        <v>118</v>
      </c>
      <c r="C50" s="6" t="s">
        <v>117</v>
      </c>
      <c r="D50" s="6">
        <v>0.107</v>
      </c>
      <c r="E50" s="6">
        <v>2</v>
      </c>
      <c r="F50" s="10">
        <f t="shared" si="0"/>
        <v>1.893</v>
      </c>
      <c r="G50" s="6">
        <v>74.425</v>
      </c>
      <c r="H50" s="7">
        <v>30.7944</v>
      </c>
      <c r="I50" s="11">
        <f t="shared" si="1"/>
        <v>105.2194</v>
      </c>
      <c r="J50" s="3"/>
    </row>
    <row r="51" spans="1:10" ht="15.75">
      <c r="A51" s="4" t="s">
        <v>127</v>
      </c>
      <c r="B51" s="6" t="s">
        <v>122</v>
      </c>
      <c r="C51" s="6" t="s">
        <v>121</v>
      </c>
      <c r="D51" s="6">
        <v>0.124</v>
      </c>
      <c r="E51" s="6">
        <v>3</v>
      </c>
      <c r="F51" s="10">
        <f t="shared" si="0"/>
        <v>2.876</v>
      </c>
      <c r="G51" s="6">
        <v>73.815</v>
      </c>
      <c r="H51" s="6">
        <v>21.84</v>
      </c>
      <c r="I51" s="11">
        <f t="shared" si="1"/>
        <v>95.655</v>
      </c>
      <c r="J51" s="3"/>
    </row>
    <row r="52" spans="1:23" ht="47.25">
      <c r="A52" s="4" t="s">
        <v>128</v>
      </c>
      <c r="B52" s="10" t="s">
        <v>91</v>
      </c>
      <c r="C52" s="10" t="s">
        <v>90</v>
      </c>
      <c r="D52" s="10">
        <v>1.57</v>
      </c>
      <c r="E52" s="10">
        <v>10</v>
      </c>
      <c r="F52" s="10">
        <f t="shared" si="0"/>
        <v>8.43</v>
      </c>
      <c r="G52" s="10">
        <v>1015.409</v>
      </c>
      <c r="H52" s="10">
        <v>3468.6288000000004</v>
      </c>
      <c r="I52" s="11">
        <f t="shared" si="1"/>
        <v>4484.0378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>
      <c r="A53" s="4" t="s">
        <v>129</v>
      </c>
      <c r="B53" s="10" t="s">
        <v>89</v>
      </c>
      <c r="C53" s="10" t="s">
        <v>88</v>
      </c>
      <c r="D53" s="10">
        <v>0.19</v>
      </c>
      <c r="E53" s="10">
        <v>2</v>
      </c>
      <c r="F53" s="10">
        <f t="shared" si="0"/>
        <v>1.81</v>
      </c>
      <c r="G53" s="10">
        <f>13.097+113.328</f>
        <v>126.425</v>
      </c>
      <c r="H53" s="10">
        <v>74.256</v>
      </c>
      <c r="I53" s="11">
        <f t="shared" si="1"/>
        <v>200.68099999999998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>
      <c r="A54" s="4" t="s">
        <v>130</v>
      </c>
      <c r="B54" s="10" t="s">
        <v>57</v>
      </c>
      <c r="C54" s="10" t="s">
        <v>56</v>
      </c>
      <c r="D54" s="10">
        <v>0.19</v>
      </c>
      <c r="E54" s="10">
        <v>2</v>
      </c>
      <c r="F54" s="10">
        <f t="shared" si="0"/>
        <v>1.81</v>
      </c>
      <c r="G54" s="5">
        <v>97.43</v>
      </c>
      <c r="H54" s="10">
        <v>100.464</v>
      </c>
      <c r="I54" s="11">
        <f t="shared" si="1"/>
        <v>197.894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10" ht="15.75">
      <c r="A55" s="4" t="s">
        <v>131</v>
      </c>
      <c r="B55" s="6" t="s">
        <v>120</v>
      </c>
      <c r="C55" s="6" t="s">
        <v>119</v>
      </c>
      <c r="D55" s="6">
        <v>0.086</v>
      </c>
      <c r="E55" s="6">
        <v>2</v>
      </c>
      <c r="F55" s="10">
        <f t="shared" si="0"/>
        <v>1.914</v>
      </c>
      <c r="G55" s="6">
        <v>54.579</v>
      </c>
      <c r="H55" s="6">
        <v>32.76</v>
      </c>
      <c r="I55" s="11">
        <f t="shared" si="1"/>
        <v>87.339</v>
      </c>
      <c r="J55" s="3"/>
    </row>
    <row r="56" spans="1:10" ht="15.75">
      <c r="A56" s="17" t="s">
        <v>154</v>
      </c>
      <c r="B56" s="18"/>
      <c r="C56" s="19"/>
      <c r="D56" s="8">
        <f>SUM(D5:D55)</f>
        <v>275.03700000000003</v>
      </c>
      <c r="E56" s="8"/>
      <c r="F56" s="8"/>
      <c r="G56" s="8">
        <f>SUM(G5:G55)</f>
        <v>84161.63599999997</v>
      </c>
      <c r="H56" s="8">
        <f>SUM(H5:H55)</f>
        <v>91095.63976</v>
      </c>
      <c r="I56" s="8">
        <f>SUM(I5:I55)</f>
        <v>175257.2757599999</v>
      </c>
      <c r="J56" s="3"/>
    </row>
    <row r="57" spans="1:10" ht="15.75">
      <c r="A57" s="2"/>
      <c r="B57" s="3"/>
      <c r="C57" s="3"/>
      <c r="D57" s="3"/>
      <c r="E57" s="3"/>
      <c r="F57" s="3"/>
      <c r="G57" s="3"/>
      <c r="H57" s="3"/>
      <c r="I57" s="3"/>
      <c r="J57" s="3"/>
    </row>
    <row r="58" spans="1:10" ht="15.75">
      <c r="A58" s="2"/>
      <c r="B58" s="3"/>
      <c r="C58" s="3"/>
      <c r="D58" s="3"/>
      <c r="E58" s="3"/>
      <c r="F58" s="3"/>
      <c r="G58" s="3"/>
      <c r="H58" s="3"/>
      <c r="I58" s="3"/>
      <c r="J58" s="3"/>
    </row>
    <row r="59" spans="1:10" ht="15.75">
      <c r="A59" s="2"/>
      <c r="B59" s="3"/>
      <c r="C59" s="3"/>
      <c r="D59" s="3"/>
      <c r="E59" s="3"/>
      <c r="F59" s="3"/>
      <c r="G59" s="3"/>
      <c r="H59" s="3"/>
      <c r="I59" s="3"/>
      <c r="J59" s="3"/>
    </row>
    <row r="60" spans="1:10" ht="15.75">
      <c r="A60" s="2"/>
      <c r="B60" s="3"/>
      <c r="C60" s="3"/>
      <c r="D60" s="3"/>
      <c r="E60" s="3"/>
      <c r="F60" s="3"/>
      <c r="G60" s="3"/>
      <c r="H60" s="3"/>
      <c r="I60" s="3"/>
      <c r="J60" s="3"/>
    </row>
    <row r="61" spans="1:10" ht="15.75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 ht="15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5.75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5.75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5.75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5.75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2:10" ht="15.75">
      <c r="B68" s="3"/>
      <c r="C68" s="3"/>
      <c r="D68" s="3"/>
      <c r="E68" s="3"/>
      <c r="F68" s="3"/>
      <c r="G68" s="3"/>
      <c r="H68" s="3"/>
      <c r="I68" s="3"/>
      <c r="J68" s="3"/>
    </row>
    <row r="69" spans="2:10" ht="15.75">
      <c r="B69" s="3"/>
      <c r="C69" s="3"/>
      <c r="D69" s="3"/>
      <c r="E69" s="3"/>
      <c r="F69" s="3"/>
      <c r="G69" s="3"/>
      <c r="H69" s="3"/>
      <c r="I69" s="3"/>
      <c r="J69" s="3"/>
    </row>
    <row r="70" spans="2:10" ht="15.75">
      <c r="B70" s="3"/>
      <c r="C70" s="3"/>
      <c r="D70" s="3"/>
      <c r="E70" s="3"/>
      <c r="F70" s="3"/>
      <c r="G70" s="3"/>
      <c r="H70" s="3"/>
      <c r="I70" s="3"/>
      <c r="J70" s="3"/>
    </row>
    <row r="71" spans="2:10" ht="15.75">
      <c r="B71" s="3"/>
      <c r="C71" s="3"/>
      <c r="D71" s="3"/>
      <c r="E71" s="3"/>
      <c r="F71" s="3"/>
      <c r="G71" s="3"/>
      <c r="H71" s="3"/>
      <c r="I71" s="3"/>
      <c r="J71" s="3"/>
    </row>
    <row r="72" spans="2:10" ht="15.75">
      <c r="B72" s="3"/>
      <c r="C72" s="3"/>
      <c r="D72" s="3"/>
      <c r="E72" s="3"/>
      <c r="F72" s="3"/>
      <c r="G72" s="3"/>
      <c r="H72" s="3"/>
      <c r="I72" s="3"/>
      <c r="J72" s="3"/>
    </row>
    <row r="73" spans="2:10" ht="15.75">
      <c r="B73" s="3"/>
      <c r="C73" s="3"/>
      <c r="D73" s="3"/>
      <c r="E73" s="3"/>
      <c r="F73" s="3"/>
      <c r="G73" s="3"/>
      <c r="H73" s="3"/>
      <c r="I73" s="3"/>
      <c r="J73" s="3"/>
    </row>
    <row r="74" spans="2:10" ht="15.75">
      <c r="B74" s="3"/>
      <c r="C74" s="3"/>
      <c r="D74" s="3"/>
      <c r="E74" s="3"/>
      <c r="F74" s="3"/>
      <c r="G74" s="3"/>
      <c r="H74" s="3"/>
      <c r="I74" s="3"/>
      <c r="J74" s="3"/>
    </row>
    <row r="75" spans="2:10" ht="15.75">
      <c r="B75" s="3"/>
      <c r="C75" s="3"/>
      <c r="D75" s="3"/>
      <c r="E75" s="3"/>
      <c r="F75" s="3"/>
      <c r="G75" s="3"/>
      <c r="H75" s="3"/>
      <c r="I75" s="3"/>
      <c r="J75" s="3"/>
    </row>
    <row r="76" spans="2:10" ht="15.75">
      <c r="B76" s="3"/>
      <c r="C76" s="3"/>
      <c r="D76" s="3"/>
      <c r="E76" s="3"/>
      <c r="F76" s="3"/>
      <c r="G76" s="3"/>
      <c r="H76" s="3"/>
      <c r="I76" s="3"/>
      <c r="J76" s="3"/>
    </row>
    <row r="77" spans="2:10" ht="15.75">
      <c r="B77" s="3"/>
      <c r="C77" s="3"/>
      <c r="D77" s="3"/>
      <c r="E77" s="3"/>
      <c r="F77" s="3"/>
      <c r="G77" s="3"/>
      <c r="H77" s="3"/>
      <c r="I77" s="3"/>
      <c r="J77" s="3"/>
    </row>
    <row r="78" spans="2:10" ht="15.75">
      <c r="B78" s="3"/>
      <c r="C78" s="3"/>
      <c r="D78" s="3"/>
      <c r="E78" s="3"/>
      <c r="F78" s="3"/>
      <c r="G78" s="3"/>
      <c r="H78" s="3"/>
      <c r="I78" s="3"/>
      <c r="J78" s="3"/>
    </row>
    <row r="79" spans="2:10" ht="15.75">
      <c r="B79" s="3"/>
      <c r="C79" s="3"/>
      <c r="D79" s="3"/>
      <c r="E79" s="3"/>
      <c r="F79" s="3"/>
      <c r="G79" s="3"/>
      <c r="H79" s="3"/>
      <c r="I79" s="3"/>
      <c r="J79" s="3"/>
    </row>
    <row r="80" spans="2:10" ht="15.75">
      <c r="B80" s="3"/>
      <c r="C80" s="3"/>
      <c r="D80" s="3"/>
      <c r="E80" s="3"/>
      <c r="F80" s="3"/>
      <c r="G80" s="3"/>
      <c r="H80" s="3"/>
      <c r="I80" s="3"/>
      <c r="J80" s="3"/>
    </row>
    <row r="81" spans="2:10" ht="15.75">
      <c r="B81" s="3"/>
      <c r="C81" s="3"/>
      <c r="D81" s="3"/>
      <c r="E81" s="3"/>
      <c r="F81" s="3"/>
      <c r="G81" s="3"/>
      <c r="H81" s="3"/>
      <c r="I81" s="3"/>
      <c r="J81" s="3"/>
    </row>
    <row r="82" spans="2:10" ht="15.75">
      <c r="B82" s="3"/>
      <c r="C82" s="3"/>
      <c r="D82" s="3"/>
      <c r="E82" s="3"/>
      <c r="F82" s="3"/>
      <c r="G82" s="3"/>
      <c r="H82" s="3"/>
      <c r="I82" s="3"/>
      <c r="J82" s="3"/>
    </row>
    <row r="83" spans="2:10" ht="15.75">
      <c r="B83" s="3"/>
      <c r="C83" s="3"/>
      <c r="D83" s="3"/>
      <c r="E83" s="3"/>
      <c r="F83" s="3"/>
      <c r="G83" s="3"/>
      <c r="H83" s="3"/>
      <c r="I83" s="3"/>
      <c r="J83" s="3"/>
    </row>
    <row r="84" spans="2:10" ht="15.75">
      <c r="B84" s="3"/>
      <c r="C84" s="3"/>
      <c r="D84" s="3"/>
      <c r="E84" s="3"/>
      <c r="F84" s="3"/>
      <c r="G84" s="3"/>
      <c r="H84" s="3"/>
      <c r="I84" s="3"/>
      <c r="J84" s="3"/>
    </row>
    <row r="85" spans="2:10" ht="15.75">
      <c r="B85" s="3"/>
      <c r="C85" s="3"/>
      <c r="D85" s="3"/>
      <c r="E85" s="3"/>
      <c r="F85" s="3"/>
      <c r="G85" s="3"/>
      <c r="H85" s="3"/>
      <c r="I85" s="3"/>
      <c r="J85" s="3"/>
    </row>
    <row r="86" spans="2:10" ht="15.75">
      <c r="B86" s="3"/>
      <c r="C86" s="3"/>
      <c r="D86" s="3"/>
      <c r="E86" s="3"/>
      <c r="F86" s="3"/>
      <c r="G86" s="3"/>
      <c r="H86" s="3"/>
      <c r="I86" s="3"/>
      <c r="J86" s="3"/>
    </row>
    <row r="87" spans="2:10" ht="15.75">
      <c r="B87" s="3"/>
      <c r="C87" s="3"/>
      <c r="D87" s="3"/>
      <c r="E87" s="3"/>
      <c r="F87" s="3"/>
      <c r="G87" s="3"/>
      <c r="H87" s="3"/>
      <c r="I87" s="3"/>
      <c r="J87" s="3"/>
    </row>
    <row r="88" spans="2:10" ht="15.75">
      <c r="B88" s="3"/>
      <c r="C88" s="3"/>
      <c r="D88" s="3"/>
      <c r="E88" s="3"/>
      <c r="F88" s="3"/>
      <c r="G88" s="3"/>
      <c r="H88" s="3"/>
      <c r="I88" s="3"/>
      <c r="J88" s="3"/>
    </row>
    <row r="89" spans="2:10" ht="15.75">
      <c r="B89" s="3"/>
      <c r="C89" s="3"/>
      <c r="D89" s="3"/>
      <c r="E89" s="3"/>
      <c r="F89" s="3"/>
      <c r="G89" s="3"/>
      <c r="H89" s="3"/>
      <c r="I89" s="3"/>
      <c r="J89" s="3"/>
    </row>
    <row r="90" spans="2:10" ht="15.75">
      <c r="B90" s="3"/>
      <c r="C90" s="3"/>
      <c r="D90" s="3"/>
      <c r="E90" s="3"/>
      <c r="F90" s="3"/>
      <c r="G90" s="3"/>
      <c r="H90" s="3"/>
      <c r="I90" s="3"/>
      <c r="J90" s="3"/>
    </row>
    <row r="91" spans="2:10" ht="15.75">
      <c r="B91" s="3"/>
      <c r="C91" s="3"/>
      <c r="D91" s="3"/>
      <c r="E91" s="3"/>
      <c r="F91" s="3"/>
      <c r="G91" s="3"/>
      <c r="H91" s="3"/>
      <c r="I91" s="3"/>
      <c r="J91" s="3"/>
    </row>
    <row r="92" spans="2:10" ht="15.75">
      <c r="B92" s="3"/>
      <c r="C92" s="3"/>
      <c r="D92" s="3"/>
      <c r="E92" s="3"/>
      <c r="F92" s="3"/>
      <c r="G92" s="3"/>
      <c r="H92" s="3"/>
      <c r="I92" s="3"/>
      <c r="J92" s="3"/>
    </row>
    <row r="93" spans="2:10" ht="15.75">
      <c r="B93" s="3"/>
      <c r="C93" s="3"/>
      <c r="D93" s="3"/>
      <c r="E93" s="3"/>
      <c r="F93" s="3"/>
      <c r="G93" s="3"/>
      <c r="H93" s="3"/>
      <c r="I93" s="3"/>
      <c r="J93" s="3"/>
    </row>
    <row r="94" spans="2:10" ht="15.75">
      <c r="B94" s="3"/>
      <c r="C94" s="3"/>
      <c r="D94" s="3"/>
      <c r="E94" s="3"/>
      <c r="F94" s="3"/>
      <c r="G94" s="3"/>
      <c r="H94" s="3"/>
      <c r="I94" s="3"/>
      <c r="J94" s="3"/>
    </row>
    <row r="95" spans="2:10" ht="15.75">
      <c r="B95" s="3"/>
      <c r="C95" s="3"/>
      <c r="D95" s="3"/>
      <c r="E95" s="3"/>
      <c r="F95" s="3"/>
      <c r="G95" s="3"/>
      <c r="H95" s="3"/>
      <c r="I95" s="3"/>
      <c r="J95" s="3"/>
    </row>
    <row r="96" spans="2:10" ht="15.75">
      <c r="B96" s="3"/>
      <c r="C96" s="3"/>
      <c r="D96" s="3"/>
      <c r="E96" s="3"/>
      <c r="F96" s="3"/>
      <c r="G96" s="3"/>
      <c r="H96" s="3"/>
      <c r="I96" s="3"/>
      <c r="J96" s="3"/>
    </row>
    <row r="97" spans="2:10" ht="15.75">
      <c r="B97" s="3"/>
      <c r="C97" s="3"/>
      <c r="D97" s="3"/>
      <c r="E97" s="3"/>
      <c r="F97" s="3"/>
      <c r="G97" s="3"/>
      <c r="H97" s="3"/>
      <c r="I97" s="3"/>
      <c r="J97" s="3"/>
    </row>
    <row r="98" spans="2:10" ht="15.75">
      <c r="B98" s="3"/>
      <c r="C98" s="3"/>
      <c r="D98" s="3"/>
      <c r="E98" s="3"/>
      <c r="F98" s="3"/>
      <c r="G98" s="3"/>
      <c r="H98" s="3"/>
      <c r="I98" s="3"/>
      <c r="J98" s="3"/>
    </row>
    <row r="99" spans="2:10" ht="15.75">
      <c r="B99" s="3"/>
      <c r="C99" s="3"/>
      <c r="D99" s="3"/>
      <c r="E99" s="3"/>
      <c r="F99" s="3"/>
      <c r="G99" s="3"/>
      <c r="H99" s="3"/>
      <c r="I99" s="3"/>
      <c r="J99" s="3"/>
    </row>
    <row r="100" spans="2:10" ht="15.7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5.7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5.7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5.7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5.7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5.7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5.7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5.75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5.75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5.75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5.7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5.7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5.75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5.75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5.75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5.7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.75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5.7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5.7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5.7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5.7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5.75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5.7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5.75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5.7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5.7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5.7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5.7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5.7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5.7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5.7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5.7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5.75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5.7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5.75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5.75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5.75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5.75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5.75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5.75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5.75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5.75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5.75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5.75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5.75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5.75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5.75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5.75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5.75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5.75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5.75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5.75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5.75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5.75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5.75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5.75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5.75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5.75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5.75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5.75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5.75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5.75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5.75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5.75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5.75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5.75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5.75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5.75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5.75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15.75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15.75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15.75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15.75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15.75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15.75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5.75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5.75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5.75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5.75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5.75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5.75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5.75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5.75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5.75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5.75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5.75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5.75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5.75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5.75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5.75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5.75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5.75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5.75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5.75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5.75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5.75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5.75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5.75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5.75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5.75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5.75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5.75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5.75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5.75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5.75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5.75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5.75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5.75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5.75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5.75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5.75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5.75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5.75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5.75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5.75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5.75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5.75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5.75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5.75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5.75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5.75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5.75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5.75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5.75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5.75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5.75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5.75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5.75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5.75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5.75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5.75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5.75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5.75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5.75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5.75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5.75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5.75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5.75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5.75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5.75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5.75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5.75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5.75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5.7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5.75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5.7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5.75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5.75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5.75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5.75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5.75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5.75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5.75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5.75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5.75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5.75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5.75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5.75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5.75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5.75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5.75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5.75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5.75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5.75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5.75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5.75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5.75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5.75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5.75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5.75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5.75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5.75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5.75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5.75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5.75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5.75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15.75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15.75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15.75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15.75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15.75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15.75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15.75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15.75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15.75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15.75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15.75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15.75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15.75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15.75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15.75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5.75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15.75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15.75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15.75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15.75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15.75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15.75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15.75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15.75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15.75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15.75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15.75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15.75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15.75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15.75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15.75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15.75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15.75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15.75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15.75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15.75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15.75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15.75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15.75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15.75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15.75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15.75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15.75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15.75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15.75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15.75">
      <c r="B321" s="3"/>
      <c r="C321" s="3"/>
      <c r="D321" s="3"/>
      <c r="E321" s="3"/>
      <c r="F321" s="3"/>
      <c r="G321" s="3"/>
      <c r="H321" s="3"/>
      <c r="I321" s="3"/>
      <c r="J321" s="3"/>
    </row>
  </sheetData>
  <sheetProtection/>
  <mergeCells count="8">
    <mergeCell ref="A56:C56"/>
    <mergeCell ref="D47:E47"/>
    <mergeCell ref="D3:F3"/>
    <mergeCell ref="A2:I2"/>
    <mergeCell ref="A3:A4"/>
    <mergeCell ref="B3:B4"/>
    <mergeCell ref="C3:C4"/>
    <mergeCell ref="G3:I3"/>
  </mergeCells>
  <printOptions/>
  <pageMargins left="0.7" right="0.7" top="0.75" bottom="0.75" header="0.3" footer="0.3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1"/>
  <sheetViews>
    <sheetView view="pageBreakPreview" zoomScaleSheetLayoutView="100" zoomScalePageLayoutView="0" workbookViewId="0" topLeftCell="A1">
      <pane ySplit="4" topLeftCell="A8" activePane="bottomLeft" state="frozen"/>
      <selection pane="topLeft" activeCell="A1" sqref="A1"/>
      <selection pane="bottomLeft" activeCell="G15" sqref="G15"/>
    </sheetView>
  </sheetViews>
  <sheetFormatPr defaultColWidth="9.140625" defaultRowHeight="15"/>
  <cols>
    <col min="1" max="1" width="6.140625" style="0" customWidth="1"/>
    <col min="2" max="2" width="18.00390625" style="0" customWidth="1"/>
    <col min="3" max="3" width="24.28125" style="0" customWidth="1"/>
    <col min="4" max="4" width="23.00390625" style="0" customWidth="1"/>
    <col min="5" max="5" width="22.7109375" style="0" customWidth="1"/>
    <col min="6" max="6" width="24.421875" style="0" customWidth="1"/>
    <col min="7" max="7" width="20.00390625" style="0" customWidth="1"/>
    <col min="8" max="8" width="28.28125" style="0" customWidth="1"/>
    <col min="9" max="9" width="21.574218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9" t="s">
        <v>155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52.5" customHeight="1">
      <c r="A2" s="20" t="s">
        <v>169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21" t="s">
        <v>2</v>
      </c>
      <c r="B3" s="21" t="s">
        <v>1</v>
      </c>
      <c r="C3" s="21" t="s">
        <v>9</v>
      </c>
      <c r="D3" s="22" t="s">
        <v>0</v>
      </c>
      <c r="E3" s="23"/>
      <c r="F3" s="24"/>
      <c r="G3" s="21" t="s">
        <v>3</v>
      </c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60.75" customHeight="1">
      <c r="A4" s="21"/>
      <c r="B4" s="21"/>
      <c r="C4" s="21"/>
      <c r="D4" s="10" t="s">
        <v>166</v>
      </c>
      <c r="E4" s="10" t="s">
        <v>156</v>
      </c>
      <c r="F4" s="10" t="s">
        <v>167</v>
      </c>
      <c r="G4" s="10" t="s">
        <v>4</v>
      </c>
      <c r="H4" s="10" t="s">
        <v>5</v>
      </c>
      <c r="I4" s="10" t="s">
        <v>16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78.75">
      <c r="A5" s="4" t="s">
        <v>6</v>
      </c>
      <c r="B5" s="10" t="s">
        <v>7</v>
      </c>
      <c r="C5" s="10" t="s">
        <v>20</v>
      </c>
      <c r="D5" s="10">
        <v>198.92</v>
      </c>
      <c r="E5" s="10">
        <v>235</v>
      </c>
      <c r="F5" s="10">
        <f>E5-D5</f>
        <v>36.08000000000001</v>
      </c>
      <c r="G5" s="5">
        <v>45908.504999999976</v>
      </c>
      <c r="H5" s="10">
        <f>(6697+208)*24*91/1000</f>
        <v>15080.52</v>
      </c>
      <c r="I5" s="5">
        <f aca="true" t="shared" si="0" ref="I5:I10">SUM(G5:H5)</f>
        <v>60989.02499999998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>
      <c r="A6" s="4" t="s">
        <v>11</v>
      </c>
      <c r="B6" s="10" t="s">
        <v>102</v>
      </c>
      <c r="C6" s="10" t="s">
        <v>101</v>
      </c>
      <c r="D6" s="10">
        <v>1.45</v>
      </c>
      <c r="E6" s="10">
        <v>10</v>
      </c>
      <c r="F6" s="10">
        <f aca="true" t="shared" si="1" ref="F6:F55">E6-D6</f>
        <v>8.55</v>
      </c>
      <c r="G6" s="5">
        <v>65.01100000000008</v>
      </c>
      <c r="H6" s="5">
        <f>8.27*24*91/1000</f>
        <v>18.06168</v>
      </c>
      <c r="I6" s="5">
        <f t="shared" si="0"/>
        <v>83.07268000000008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47.25">
      <c r="A7" s="4" t="s">
        <v>14</v>
      </c>
      <c r="B7" s="10" t="s">
        <v>25</v>
      </c>
      <c r="C7" s="10" t="s">
        <v>23</v>
      </c>
      <c r="D7" s="10">
        <v>5.89</v>
      </c>
      <c r="E7" s="10">
        <v>10</v>
      </c>
      <c r="F7" s="10">
        <f t="shared" si="1"/>
        <v>4.11</v>
      </c>
      <c r="G7" s="5">
        <v>294.91599999999994</v>
      </c>
      <c r="H7" s="5">
        <f>4215.68*24*91/1000</f>
        <v>9207.04512</v>
      </c>
      <c r="I7" s="5">
        <f t="shared" si="0"/>
        <v>9501.96112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1.5">
      <c r="A8" s="4" t="s">
        <v>18</v>
      </c>
      <c r="B8" s="10" t="s">
        <v>12</v>
      </c>
      <c r="C8" s="10" t="s">
        <v>10</v>
      </c>
      <c r="D8" s="10">
        <v>5.66</v>
      </c>
      <c r="E8" s="10">
        <v>10</v>
      </c>
      <c r="F8" s="10">
        <f t="shared" si="1"/>
        <v>4.34</v>
      </c>
      <c r="G8" s="5">
        <v>394.1090000000004</v>
      </c>
      <c r="H8" s="10">
        <f>2550*24*91/1000</f>
        <v>5569.2</v>
      </c>
      <c r="I8" s="5">
        <f t="shared" si="0"/>
        <v>5963.309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10" ht="15.75">
      <c r="A9" s="4" t="s">
        <v>22</v>
      </c>
      <c r="B9" s="6" t="s">
        <v>137</v>
      </c>
      <c r="C9" s="6" t="s">
        <v>136</v>
      </c>
      <c r="D9" s="6">
        <v>0.61</v>
      </c>
      <c r="E9" s="6">
        <v>2</v>
      </c>
      <c r="F9" s="10">
        <f t="shared" si="1"/>
        <v>1.3900000000000001</v>
      </c>
      <c r="G9" s="5">
        <v>251.86336099999997</v>
      </c>
      <c r="H9" s="7">
        <f>51.9*24*91/1000</f>
        <v>113.3496</v>
      </c>
      <c r="I9" s="5">
        <f t="shared" si="0"/>
        <v>365.21296099999995</v>
      </c>
      <c r="J9" s="3"/>
    </row>
    <row r="10" spans="1:23" ht="31.5">
      <c r="A10" s="4" t="s">
        <v>24</v>
      </c>
      <c r="B10" s="10" t="s">
        <v>17</v>
      </c>
      <c r="C10" s="10" t="s">
        <v>19</v>
      </c>
      <c r="D10" s="10">
        <v>3.54</v>
      </c>
      <c r="E10" s="10">
        <v>5</v>
      </c>
      <c r="F10" s="10">
        <f t="shared" si="1"/>
        <v>1.46</v>
      </c>
      <c r="G10" s="5">
        <v>161.71600000000035</v>
      </c>
      <c r="H10" s="10">
        <f>1351*24*91/1000</f>
        <v>2950.584</v>
      </c>
      <c r="I10" s="5">
        <f t="shared" si="0"/>
        <v>3112.3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10" ht="15.75">
      <c r="A11" s="4" t="s">
        <v>26</v>
      </c>
      <c r="B11" s="6" t="s">
        <v>139</v>
      </c>
      <c r="C11" s="6" t="s">
        <v>138</v>
      </c>
      <c r="D11" s="6">
        <v>0.17</v>
      </c>
      <c r="E11" s="6">
        <v>1</v>
      </c>
      <c r="F11" s="10">
        <f t="shared" si="1"/>
        <v>0.83</v>
      </c>
      <c r="G11" s="5">
        <v>63.87399999999997</v>
      </c>
      <c r="H11" s="7">
        <f>63.9*24*91/1000</f>
        <v>139.5576</v>
      </c>
      <c r="I11" s="5">
        <f aca="true" t="shared" si="2" ref="I11:I17">SUM(G11:H11)</f>
        <v>203.43159999999997</v>
      </c>
      <c r="J11" s="3"/>
    </row>
    <row r="12" spans="1:23" ht="15.75">
      <c r="A12" s="4" t="s">
        <v>27</v>
      </c>
      <c r="B12" s="10" t="s">
        <v>106</v>
      </c>
      <c r="C12" s="10" t="s">
        <v>105</v>
      </c>
      <c r="D12" s="10">
        <v>1.44</v>
      </c>
      <c r="E12" s="10">
        <v>5</v>
      </c>
      <c r="F12" s="10">
        <f t="shared" si="1"/>
        <v>3.56</v>
      </c>
      <c r="G12" s="5">
        <v>104.8429999999999</v>
      </c>
      <c r="H12" s="5">
        <f>585.2*24*91/1000</f>
        <v>1278.0768</v>
      </c>
      <c r="I12" s="5">
        <f t="shared" si="2"/>
        <v>1382.9198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75">
      <c r="A13" s="4" t="s">
        <v>28</v>
      </c>
      <c r="B13" s="10" t="s">
        <v>53</v>
      </c>
      <c r="C13" s="10" t="s">
        <v>146</v>
      </c>
      <c r="D13" s="10">
        <v>0.64</v>
      </c>
      <c r="E13" s="10">
        <v>2</v>
      </c>
      <c r="F13" s="10">
        <f t="shared" si="1"/>
        <v>1.3599999999999999</v>
      </c>
      <c r="G13" s="5">
        <v>199.76099999999997</v>
      </c>
      <c r="H13" s="5">
        <f>274.7*24*91/1000</f>
        <v>599.9448</v>
      </c>
      <c r="I13" s="5">
        <f t="shared" si="2"/>
        <v>799.7058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1.5">
      <c r="A14" s="4" t="s">
        <v>29</v>
      </c>
      <c r="B14" s="10" t="s">
        <v>147</v>
      </c>
      <c r="C14" s="10" t="s">
        <v>148</v>
      </c>
      <c r="D14" s="10">
        <v>1.24</v>
      </c>
      <c r="E14" s="10">
        <v>2.5</v>
      </c>
      <c r="F14" s="10">
        <f t="shared" si="1"/>
        <v>1.26</v>
      </c>
      <c r="G14" s="5">
        <v>0</v>
      </c>
      <c r="H14" s="5">
        <f>863.9*24*91/1000</f>
        <v>1886.7576</v>
      </c>
      <c r="I14" s="5">
        <f t="shared" si="2"/>
        <v>1886.7576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>
      <c r="A15" s="4" t="s">
        <v>30</v>
      </c>
      <c r="B15" s="10" t="s">
        <v>151</v>
      </c>
      <c r="C15" s="10" t="s">
        <v>152</v>
      </c>
      <c r="D15" s="10">
        <v>0.06</v>
      </c>
      <c r="E15" s="10">
        <v>1</v>
      </c>
      <c r="F15" s="10">
        <f t="shared" si="1"/>
        <v>0.94</v>
      </c>
      <c r="G15" s="5">
        <v>0</v>
      </c>
      <c r="H15" s="5">
        <f>1177.9*24*91/1000</f>
        <v>2572.5336</v>
      </c>
      <c r="I15" s="5">
        <f t="shared" si="2"/>
        <v>2572.5336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>
      <c r="A16" s="4" t="s">
        <v>31</v>
      </c>
      <c r="B16" s="10" t="s">
        <v>99</v>
      </c>
      <c r="C16" s="10" t="s">
        <v>98</v>
      </c>
      <c r="D16" s="10">
        <v>3.9</v>
      </c>
      <c r="E16" s="10">
        <v>20</v>
      </c>
      <c r="F16" s="10">
        <f t="shared" si="1"/>
        <v>16.1</v>
      </c>
      <c r="G16" s="5">
        <v>25.192999999999756</v>
      </c>
      <c r="H16" s="5">
        <f>1108.6*24*91/1000</f>
        <v>2421.1823999999997</v>
      </c>
      <c r="I16" s="5">
        <f t="shared" si="2"/>
        <v>2446.3753999999994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>
      <c r="A17" s="4" t="s">
        <v>32</v>
      </c>
      <c r="B17" s="10" t="s">
        <v>149</v>
      </c>
      <c r="C17" s="10" t="s">
        <v>150</v>
      </c>
      <c r="D17" s="10">
        <v>0.07</v>
      </c>
      <c r="E17" s="10">
        <v>1</v>
      </c>
      <c r="F17" s="10">
        <f t="shared" si="1"/>
        <v>0.9299999999999999</v>
      </c>
      <c r="G17" s="5">
        <v>0</v>
      </c>
      <c r="H17" s="10">
        <f>3105.5*24*91/1000</f>
        <v>6782.412</v>
      </c>
      <c r="I17" s="5">
        <f t="shared" si="2"/>
        <v>6782.412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78.75">
      <c r="A18" s="4" t="s">
        <v>33</v>
      </c>
      <c r="B18" s="10" t="s">
        <v>165</v>
      </c>
      <c r="C18" s="10" t="s">
        <v>21</v>
      </c>
      <c r="D18" s="10">
        <v>22.85</v>
      </c>
      <c r="E18" s="10">
        <v>43</v>
      </c>
      <c r="F18" s="10">
        <f t="shared" si="1"/>
        <v>20.15</v>
      </c>
      <c r="G18" s="5">
        <v>6522.050000000003</v>
      </c>
      <c r="H18" s="10">
        <f>633*24*91/1000</f>
        <v>1382.472</v>
      </c>
      <c r="I18" s="5">
        <f>SUM(G18:H18)</f>
        <v>7904.522000000003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47.25">
      <c r="A19" s="4" t="s">
        <v>34</v>
      </c>
      <c r="B19" s="10" t="s">
        <v>108</v>
      </c>
      <c r="C19" s="10" t="s">
        <v>107</v>
      </c>
      <c r="D19" s="10">
        <v>2.61</v>
      </c>
      <c r="E19" s="10">
        <v>20</v>
      </c>
      <c r="F19" s="10">
        <f t="shared" si="1"/>
        <v>17.39</v>
      </c>
      <c r="G19" s="5">
        <v>184.7969999999998</v>
      </c>
      <c r="H19" s="10">
        <f>284*24*91/1000</f>
        <v>620.256</v>
      </c>
      <c r="I19" s="5">
        <f aca="true" t="shared" si="3" ref="I19:I32">SUM(G19:H19)</f>
        <v>805.0529999999998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10" ht="15.75">
      <c r="A20" s="4" t="s">
        <v>35</v>
      </c>
      <c r="B20" s="6" t="s">
        <v>141</v>
      </c>
      <c r="C20" s="6" t="s">
        <v>140</v>
      </c>
      <c r="D20" s="6">
        <v>0.56</v>
      </c>
      <c r="E20" s="6">
        <v>2</v>
      </c>
      <c r="F20" s="10">
        <f t="shared" si="1"/>
        <v>1.44</v>
      </c>
      <c r="G20" s="5">
        <v>59.59800000000001</v>
      </c>
      <c r="H20" s="6">
        <f>76*24*91/1000</f>
        <v>165.984</v>
      </c>
      <c r="I20" s="5">
        <f t="shared" si="3"/>
        <v>225.58200000000002</v>
      </c>
      <c r="J20" s="3"/>
    </row>
    <row r="21" spans="1:23" ht="31.5">
      <c r="A21" s="4" t="s">
        <v>36</v>
      </c>
      <c r="B21" s="10" t="s">
        <v>95</v>
      </c>
      <c r="C21" s="6" t="s">
        <v>94</v>
      </c>
      <c r="D21" s="10">
        <v>0.84</v>
      </c>
      <c r="E21" s="10">
        <v>2</v>
      </c>
      <c r="F21" s="10">
        <f t="shared" si="1"/>
        <v>1.1600000000000001</v>
      </c>
      <c r="G21" s="5">
        <v>101.35700000000008</v>
      </c>
      <c r="H21" s="10">
        <f>50*24*91/1000</f>
        <v>109.2</v>
      </c>
      <c r="I21" s="5">
        <f t="shared" si="3"/>
        <v>210.55700000000007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94.5">
      <c r="A22" s="4" t="s">
        <v>37</v>
      </c>
      <c r="B22" s="10" t="s">
        <v>15</v>
      </c>
      <c r="C22" s="10" t="s">
        <v>13</v>
      </c>
      <c r="D22" s="10">
        <v>11.26</v>
      </c>
      <c r="E22" s="10">
        <v>20</v>
      </c>
      <c r="F22" s="10">
        <f t="shared" si="1"/>
        <v>8.74</v>
      </c>
      <c r="G22" s="5">
        <v>663.596</v>
      </c>
      <c r="H22" s="10">
        <f>14584*24*91/1000</f>
        <v>31851.456</v>
      </c>
      <c r="I22" s="5">
        <f t="shared" si="3"/>
        <v>32515.052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1.5">
      <c r="A23" s="4" t="s">
        <v>38</v>
      </c>
      <c r="B23" s="10" t="s">
        <v>109</v>
      </c>
      <c r="C23" s="10" t="s">
        <v>110</v>
      </c>
      <c r="D23" s="10">
        <v>0.8</v>
      </c>
      <c r="E23" s="10">
        <v>2</v>
      </c>
      <c r="F23" s="10">
        <f t="shared" si="1"/>
        <v>1.2</v>
      </c>
      <c r="G23" s="5">
        <v>54.516999999999996</v>
      </c>
      <c r="H23" s="10">
        <f>104*24*91/1000</f>
        <v>227.136</v>
      </c>
      <c r="I23" s="5">
        <f t="shared" si="3"/>
        <v>281.653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10" ht="15.75">
      <c r="A24" s="4" t="s">
        <v>39</v>
      </c>
      <c r="B24" s="6" t="s">
        <v>143</v>
      </c>
      <c r="C24" s="6" t="s">
        <v>142</v>
      </c>
      <c r="D24" s="6">
        <v>0.21</v>
      </c>
      <c r="E24" s="6">
        <v>1</v>
      </c>
      <c r="F24" s="10">
        <f t="shared" si="1"/>
        <v>0.79</v>
      </c>
      <c r="G24" s="5">
        <v>17.031999999999982</v>
      </c>
      <c r="H24" s="6">
        <f>143*24*91/1000</f>
        <v>312.312</v>
      </c>
      <c r="I24" s="5">
        <f t="shared" si="3"/>
        <v>329.344</v>
      </c>
      <c r="J24" s="3"/>
    </row>
    <row r="25" spans="1:10" ht="15.75">
      <c r="A25" s="4" t="s">
        <v>40</v>
      </c>
      <c r="B25" s="6" t="s">
        <v>114</v>
      </c>
      <c r="C25" s="6" t="s">
        <v>113</v>
      </c>
      <c r="D25" s="6">
        <v>0.13</v>
      </c>
      <c r="E25" s="6">
        <v>2</v>
      </c>
      <c r="F25" s="10">
        <f t="shared" si="1"/>
        <v>1.87</v>
      </c>
      <c r="G25" s="5">
        <v>7.915999999999997</v>
      </c>
      <c r="H25" s="6">
        <f>115*24*91/1000</f>
        <v>251.16</v>
      </c>
      <c r="I25" s="5">
        <f t="shared" si="3"/>
        <v>259.076</v>
      </c>
      <c r="J25" s="3"/>
    </row>
    <row r="26" spans="1:10" ht="15.75">
      <c r="A26" s="4" t="s">
        <v>41</v>
      </c>
      <c r="B26" s="6" t="s">
        <v>115</v>
      </c>
      <c r="C26" s="6" t="s">
        <v>116</v>
      </c>
      <c r="D26" s="6">
        <v>0.75</v>
      </c>
      <c r="E26" s="6">
        <v>2</v>
      </c>
      <c r="F26" s="10">
        <f t="shared" si="1"/>
        <v>1.25</v>
      </c>
      <c r="G26" s="5">
        <v>50.539000000000016</v>
      </c>
      <c r="H26" s="6">
        <f>114*24*91/1000</f>
        <v>248.976</v>
      </c>
      <c r="I26" s="5">
        <f t="shared" si="3"/>
        <v>299.515</v>
      </c>
      <c r="J26" s="3"/>
    </row>
    <row r="27" spans="1:23" ht="15.75">
      <c r="A27" s="4" t="s">
        <v>42</v>
      </c>
      <c r="B27" s="10" t="s">
        <v>157</v>
      </c>
      <c r="C27" s="10" t="s">
        <v>158</v>
      </c>
      <c r="D27" s="10">
        <v>0.26</v>
      </c>
      <c r="E27" s="10">
        <v>2</v>
      </c>
      <c r="F27" s="10">
        <f t="shared" si="1"/>
        <v>1.74</v>
      </c>
      <c r="G27" s="5">
        <v>44.35400000000003</v>
      </c>
      <c r="H27" s="10">
        <f>5*24*91/1000</f>
        <v>10.92</v>
      </c>
      <c r="I27" s="5">
        <f t="shared" si="3"/>
        <v>55.27400000000003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>
      <c r="A28" s="4" t="s">
        <v>43</v>
      </c>
      <c r="B28" s="10" t="s">
        <v>159</v>
      </c>
      <c r="C28" s="10" t="s">
        <v>160</v>
      </c>
      <c r="D28" s="10">
        <v>0.17</v>
      </c>
      <c r="E28" s="10">
        <v>10</v>
      </c>
      <c r="F28" s="10">
        <f t="shared" si="1"/>
        <v>9.83</v>
      </c>
      <c r="G28" s="5">
        <v>13.067</v>
      </c>
      <c r="H28" s="10">
        <f>15*24*91/1000</f>
        <v>32.76</v>
      </c>
      <c r="I28" s="5">
        <f t="shared" si="3"/>
        <v>45.827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6.5" customHeight="1">
      <c r="A29" s="4" t="s">
        <v>44</v>
      </c>
      <c r="B29" s="10" t="s">
        <v>48</v>
      </c>
      <c r="C29" s="10" t="s">
        <v>47</v>
      </c>
      <c r="D29" s="10">
        <v>0.37</v>
      </c>
      <c r="E29" s="10">
        <v>2</v>
      </c>
      <c r="F29" s="10">
        <f t="shared" si="1"/>
        <v>1.63</v>
      </c>
      <c r="G29" s="5">
        <v>41.33399999999999</v>
      </c>
      <c r="H29" s="10">
        <f>15*24*91/1000</f>
        <v>32.76</v>
      </c>
      <c r="I29" s="5">
        <f t="shared" si="3"/>
        <v>74.094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>
      <c r="A30" s="4" t="s">
        <v>45</v>
      </c>
      <c r="B30" s="10" t="s">
        <v>112</v>
      </c>
      <c r="C30" s="10" t="s">
        <v>111</v>
      </c>
      <c r="D30" s="10">
        <v>0.28</v>
      </c>
      <c r="E30" s="10">
        <v>1</v>
      </c>
      <c r="F30" s="10">
        <f t="shared" si="1"/>
        <v>0.72</v>
      </c>
      <c r="G30" s="5">
        <v>23.861999999999995</v>
      </c>
      <c r="H30" s="10">
        <f>20*24*91/1000</f>
        <v>43.68</v>
      </c>
      <c r="I30" s="5">
        <f t="shared" si="3"/>
        <v>67.542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>
      <c r="A31" s="4" t="s">
        <v>46</v>
      </c>
      <c r="B31" s="10" t="s">
        <v>69</v>
      </c>
      <c r="C31" s="10" t="s">
        <v>68</v>
      </c>
      <c r="D31" s="10">
        <v>2.07</v>
      </c>
      <c r="E31" s="10">
        <v>5</v>
      </c>
      <c r="F31" s="10">
        <f t="shared" si="1"/>
        <v>2.93</v>
      </c>
      <c r="G31" s="5">
        <v>247.34500000000003</v>
      </c>
      <c r="H31" s="10">
        <f>15*24*91/1000</f>
        <v>32.76</v>
      </c>
      <c r="I31" s="5">
        <f t="shared" si="3"/>
        <v>280.105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>
      <c r="A32" s="4" t="s">
        <v>70</v>
      </c>
      <c r="B32" s="10" t="s">
        <v>104</v>
      </c>
      <c r="C32" s="10" t="s">
        <v>153</v>
      </c>
      <c r="D32" s="10">
        <v>0.66</v>
      </c>
      <c r="E32" s="10">
        <v>10</v>
      </c>
      <c r="F32" s="10">
        <f t="shared" si="1"/>
        <v>9.34</v>
      </c>
      <c r="G32" s="5">
        <v>59.47200000000004</v>
      </c>
      <c r="H32" s="10">
        <f>30*24*91/1000</f>
        <v>65.52</v>
      </c>
      <c r="I32" s="5">
        <f t="shared" si="3"/>
        <v>124.99200000000003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>
      <c r="A33" s="4" t="s">
        <v>71</v>
      </c>
      <c r="B33" s="10" t="s">
        <v>144</v>
      </c>
      <c r="C33" s="10" t="s">
        <v>145</v>
      </c>
      <c r="D33" s="10">
        <v>0.25</v>
      </c>
      <c r="E33" s="10">
        <v>1</v>
      </c>
      <c r="F33" s="10">
        <f t="shared" si="1"/>
        <v>0.75</v>
      </c>
      <c r="G33" s="5">
        <v>26.094999999999985</v>
      </c>
      <c r="H33" s="10">
        <f>10*24*91/1000</f>
        <v>21.84</v>
      </c>
      <c r="I33" s="5">
        <f aca="true" t="shared" si="4" ref="I33:I39">SUM(G33:H33)</f>
        <v>47.93499999999999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>
      <c r="A34" s="4" t="s">
        <v>72</v>
      </c>
      <c r="B34" s="10" t="s">
        <v>161</v>
      </c>
      <c r="C34" s="10" t="s">
        <v>162</v>
      </c>
      <c r="D34" s="10">
        <v>0.37</v>
      </c>
      <c r="E34" s="10">
        <v>1</v>
      </c>
      <c r="F34" s="10">
        <f t="shared" si="1"/>
        <v>0.63</v>
      </c>
      <c r="G34" s="5">
        <v>32.11699999999996</v>
      </c>
      <c r="H34" s="10">
        <f>5*24*91/1000</f>
        <v>10.92</v>
      </c>
      <c r="I34" s="5">
        <f t="shared" si="4"/>
        <v>43.03699999999996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10" ht="15.75">
      <c r="A35" s="4" t="s">
        <v>73</v>
      </c>
      <c r="B35" s="6" t="s">
        <v>133</v>
      </c>
      <c r="C35" s="6" t="s">
        <v>132</v>
      </c>
      <c r="D35" s="6">
        <v>0.2</v>
      </c>
      <c r="E35" s="6">
        <v>1</v>
      </c>
      <c r="F35" s="10">
        <f t="shared" si="1"/>
        <v>0.8</v>
      </c>
      <c r="G35" s="5">
        <v>18.373999999999995</v>
      </c>
      <c r="H35" s="6">
        <v>0</v>
      </c>
      <c r="I35" s="5">
        <f t="shared" si="4"/>
        <v>18.373999999999995</v>
      </c>
      <c r="J35" s="3"/>
    </row>
    <row r="36" spans="1:10" ht="15.75">
      <c r="A36" s="4" t="s">
        <v>74</v>
      </c>
      <c r="B36" s="6" t="s">
        <v>135</v>
      </c>
      <c r="C36" s="6" t="s">
        <v>134</v>
      </c>
      <c r="D36" s="6">
        <v>0.38</v>
      </c>
      <c r="E36" s="6">
        <v>1</v>
      </c>
      <c r="F36" s="10">
        <f t="shared" si="1"/>
        <v>0.62</v>
      </c>
      <c r="G36" s="5">
        <v>40.012000000000015</v>
      </c>
      <c r="H36" s="6">
        <v>0</v>
      </c>
      <c r="I36" s="5">
        <f t="shared" si="4"/>
        <v>40.012000000000015</v>
      </c>
      <c r="J36" s="3"/>
    </row>
    <row r="37" spans="1:23" ht="15.75">
      <c r="A37" s="4" t="s">
        <v>75</v>
      </c>
      <c r="B37" s="10" t="s">
        <v>55</v>
      </c>
      <c r="C37" s="10" t="s">
        <v>54</v>
      </c>
      <c r="D37" s="10">
        <v>0.344</v>
      </c>
      <c r="E37" s="10">
        <v>2</v>
      </c>
      <c r="F37" s="10">
        <f t="shared" si="1"/>
        <v>1.6560000000000001</v>
      </c>
      <c r="G37" s="5">
        <v>108.89900000000003</v>
      </c>
      <c r="H37" s="10">
        <f>150*24*91/1000</f>
        <v>327.6</v>
      </c>
      <c r="I37" s="5">
        <f t="shared" si="4"/>
        <v>436.499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4" t="s">
        <v>76</v>
      </c>
      <c r="B38" s="10" t="s">
        <v>50</v>
      </c>
      <c r="C38" s="10" t="s">
        <v>49</v>
      </c>
      <c r="D38" s="10">
        <v>0.062</v>
      </c>
      <c r="E38" s="10">
        <v>1</v>
      </c>
      <c r="F38" s="10">
        <f t="shared" si="1"/>
        <v>0.938</v>
      </c>
      <c r="G38" s="5">
        <v>14.188000000000002</v>
      </c>
      <c r="H38" s="10">
        <f>80*24*91/1000</f>
        <v>174.72</v>
      </c>
      <c r="I38" s="5">
        <f t="shared" si="4"/>
        <v>188.90800000000002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>
      <c r="A39" s="4" t="s">
        <v>77</v>
      </c>
      <c r="B39" s="10" t="s">
        <v>52</v>
      </c>
      <c r="C39" s="10" t="s">
        <v>51</v>
      </c>
      <c r="D39" s="10">
        <v>0.24</v>
      </c>
      <c r="E39" s="10">
        <v>2</v>
      </c>
      <c r="F39" s="10">
        <f t="shared" si="1"/>
        <v>1.76</v>
      </c>
      <c r="G39" s="5">
        <v>42.09</v>
      </c>
      <c r="H39" s="10">
        <f>40*24*91/1000</f>
        <v>87.36</v>
      </c>
      <c r="I39" s="5">
        <f t="shared" si="4"/>
        <v>129.45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>
      <c r="A40" s="4" t="s">
        <v>78</v>
      </c>
      <c r="B40" s="10" t="s">
        <v>67</v>
      </c>
      <c r="C40" s="10" t="s">
        <v>66</v>
      </c>
      <c r="D40" s="10">
        <v>2.22</v>
      </c>
      <c r="E40" s="10">
        <v>10</v>
      </c>
      <c r="F40" s="10">
        <f t="shared" si="1"/>
        <v>7.779999999999999</v>
      </c>
      <c r="G40" s="5">
        <v>306.84999999999945</v>
      </c>
      <c r="H40" s="5">
        <f>1061.15*24*91/1000</f>
        <v>2317.5516000000002</v>
      </c>
      <c r="I40" s="5">
        <f aca="true" t="shared" si="5" ref="I40:I53">SUM(G40:H40)</f>
        <v>2624.4015999999997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31.5">
      <c r="A41" s="4" t="s">
        <v>79</v>
      </c>
      <c r="B41" s="10" t="s">
        <v>58</v>
      </c>
      <c r="C41" s="10" t="s">
        <v>59</v>
      </c>
      <c r="D41" s="10">
        <v>0.137</v>
      </c>
      <c r="E41" s="10">
        <v>2</v>
      </c>
      <c r="F41" s="10">
        <f t="shared" si="1"/>
        <v>1.863</v>
      </c>
      <c r="G41" s="5">
        <v>28.756000000000014</v>
      </c>
      <c r="H41" s="5">
        <f>21.33*24*91/1000</f>
        <v>46.58472</v>
      </c>
      <c r="I41" s="5">
        <f t="shared" si="5"/>
        <v>75.34072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8" customHeight="1">
      <c r="A42" s="4" t="s">
        <v>80</v>
      </c>
      <c r="B42" s="10" t="s">
        <v>61</v>
      </c>
      <c r="C42" s="10" t="s">
        <v>60</v>
      </c>
      <c r="D42" s="10">
        <v>0.166</v>
      </c>
      <c r="E42" s="10">
        <v>2</v>
      </c>
      <c r="F42" s="10">
        <f t="shared" si="1"/>
        <v>1.834</v>
      </c>
      <c r="G42" s="5">
        <v>56.71200000000002</v>
      </c>
      <c r="H42" s="10">
        <f>25*24*91/1000</f>
        <v>54.6</v>
      </c>
      <c r="I42" s="5">
        <f t="shared" si="5"/>
        <v>111.31200000000001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4" t="s">
        <v>81</v>
      </c>
      <c r="B43" s="10" t="s">
        <v>63</v>
      </c>
      <c r="C43" s="10" t="s">
        <v>62</v>
      </c>
      <c r="D43" s="10">
        <v>0.26</v>
      </c>
      <c r="E43" s="10">
        <v>5.8</v>
      </c>
      <c r="F43" s="10">
        <f t="shared" si="1"/>
        <v>5.54</v>
      </c>
      <c r="G43" s="5">
        <v>72.54699999999997</v>
      </c>
      <c r="H43" s="5">
        <f>9.6*24*91/1000</f>
        <v>20.966399999999997</v>
      </c>
      <c r="I43" s="5">
        <f t="shared" si="5"/>
        <v>93.51339999999996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>
      <c r="A44" s="4" t="s">
        <v>82</v>
      </c>
      <c r="B44" s="10" t="s">
        <v>65</v>
      </c>
      <c r="C44" s="10" t="s">
        <v>64</v>
      </c>
      <c r="D44" s="10">
        <v>0.18</v>
      </c>
      <c r="E44" s="10">
        <v>3</v>
      </c>
      <c r="F44" s="10">
        <f t="shared" si="1"/>
        <v>2.82</v>
      </c>
      <c r="G44" s="5">
        <v>71.29200000000003</v>
      </c>
      <c r="H44" s="10">
        <f>12.5*24*91/1000</f>
        <v>27.3</v>
      </c>
      <c r="I44" s="5">
        <f t="shared" si="5"/>
        <v>98.59200000000003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>
      <c r="A45" s="4" t="s">
        <v>83</v>
      </c>
      <c r="B45" s="10" t="s">
        <v>85</v>
      </c>
      <c r="C45" s="10" t="s">
        <v>84</v>
      </c>
      <c r="D45" s="10">
        <v>0.086</v>
      </c>
      <c r="E45" s="10">
        <v>3</v>
      </c>
      <c r="F45" s="10">
        <f t="shared" si="1"/>
        <v>2.914</v>
      </c>
      <c r="G45" s="5">
        <v>53.94000000000001</v>
      </c>
      <c r="H45" s="5">
        <f>12.87*24*91/1000</f>
        <v>28.108079999999998</v>
      </c>
      <c r="I45" s="5">
        <f t="shared" si="5"/>
        <v>82.04808000000001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>
      <c r="A46" s="4" t="s">
        <v>100</v>
      </c>
      <c r="B46" s="10" t="s">
        <v>87</v>
      </c>
      <c r="C46" s="10" t="s">
        <v>86</v>
      </c>
      <c r="D46" s="10">
        <v>0.109</v>
      </c>
      <c r="E46" s="10">
        <v>2</v>
      </c>
      <c r="F46" s="10">
        <f t="shared" si="1"/>
        <v>1.891</v>
      </c>
      <c r="G46" s="5">
        <v>42.994</v>
      </c>
      <c r="H46" s="5">
        <f>29.03*24*91/1000</f>
        <v>63.401520000000005</v>
      </c>
      <c r="I46" s="5">
        <f t="shared" si="5"/>
        <v>106.39552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31.5">
      <c r="A47" s="4" t="s">
        <v>123</v>
      </c>
      <c r="B47" s="10" t="s">
        <v>97</v>
      </c>
      <c r="C47" s="10" t="s">
        <v>96</v>
      </c>
      <c r="D47" s="15" t="s">
        <v>163</v>
      </c>
      <c r="E47" s="16"/>
      <c r="F47" s="10"/>
      <c r="G47" s="5">
        <v>81.0359999999996</v>
      </c>
      <c r="H47" s="5">
        <f>37.93*24*91/1000</f>
        <v>82.83912</v>
      </c>
      <c r="I47" s="5">
        <f t="shared" si="5"/>
        <v>163.87511999999958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31.5">
      <c r="A48" s="4" t="s">
        <v>124</v>
      </c>
      <c r="B48" s="10" t="s">
        <v>164</v>
      </c>
      <c r="C48" s="10" t="s">
        <v>103</v>
      </c>
      <c r="D48" s="10">
        <v>0.121</v>
      </c>
      <c r="E48" s="10">
        <v>3</v>
      </c>
      <c r="F48" s="10">
        <f t="shared" si="1"/>
        <v>2.879</v>
      </c>
      <c r="G48" s="5">
        <v>36.102999999999994</v>
      </c>
      <c r="H48" s="5">
        <f>15.53*24*91/1000</f>
        <v>33.917519999999996</v>
      </c>
      <c r="I48" s="5">
        <f t="shared" si="5"/>
        <v>70.02051999999999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>
      <c r="A49" s="4" t="s">
        <v>125</v>
      </c>
      <c r="B49" s="10" t="s">
        <v>93</v>
      </c>
      <c r="C49" s="10" t="s">
        <v>92</v>
      </c>
      <c r="D49" s="10">
        <v>0.235</v>
      </c>
      <c r="E49" s="10">
        <v>3</v>
      </c>
      <c r="F49" s="10">
        <f t="shared" si="1"/>
        <v>2.765</v>
      </c>
      <c r="G49" s="5">
        <v>82.92999999999998</v>
      </c>
      <c r="H49" s="5">
        <f>62.6*24*91/1000</f>
        <v>136.7184</v>
      </c>
      <c r="I49" s="5">
        <f t="shared" si="5"/>
        <v>219.64839999999998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10" ht="15.75">
      <c r="A50" s="4" t="s">
        <v>126</v>
      </c>
      <c r="B50" s="6" t="s">
        <v>118</v>
      </c>
      <c r="C50" s="6" t="s">
        <v>117</v>
      </c>
      <c r="D50" s="6">
        <v>0.107</v>
      </c>
      <c r="E50" s="6">
        <v>2</v>
      </c>
      <c r="F50" s="10">
        <f t="shared" si="1"/>
        <v>1.893</v>
      </c>
      <c r="G50" s="5">
        <v>59.23300000000002</v>
      </c>
      <c r="H50" s="7">
        <f>14.1*24*91/1000</f>
        <v>30.7944</v>
      </c>
      <c r="I50" s="5">
        <f t="shared" si="5"/>
        <v>90.02740000000001</v>
      </c>
      <c r="J50" s="3"/>
    </row>
    <row r="51" spans="1:10" ht="15.75">
      <c r="A51" s="4" t="s">
        <v>127</v>
      </c>
      <c r="B51" s="6" t="s">
        <v>122</v>
      </c>
      <c r="C51" s="6" t="s">
        <v>121</v>
      </c>
      <c r="D51" s="6">
        <v>0.124</v>
      </c>
      <c r="E51" s="6">
        <v>3</v>
      </c>
      <c r="F51" s="10">
        <f t="shared" si="1"/>
        <v>2.876</v>
      </c>
      <c r="G51" s="5">
        <v>45.137</v>
      </c>
      <c r="H51" s="6">
        <f>10*24*91/1000</f>
        <v>21.84</v>
      </c>
      <c r="I51" s="5">
        <f t="shared" si="5"/>
        <v>66.977</v>
      </c>
      <c r="J51" s="3"/>
    </row>
    <row r="52" spans="1:23" ht="47.25">
      <c r="A52" s="4" t="s">
        <v>128</v>
      </c>
      <c r="B52" s="10" t="s">
        <v>91</v>
      </c>
      <c r="C52" s="10" t="s">
        <v>90</v>
      </c>
      <c r="D52" s="10">
        <v>1.57</v>
      </c>
      <c r="E52" s="10">
        <v>10</v>
      </c>
      <c r="F52" s="10">
        <f t="shared" si="1"/>
        <v>8.43</v>
      </c>
      <c r="G52" s="5">
        <v>388.2009999999998</v>
      </c>
      <c r="H52" s="10">
        <f>1588.2*24*91/1000</f>
        <v>3468.6288000000004</v>
      </c>
      <c r="I52" s="5">
        <f t="shared" si="5"/>
        <v>3856.8298000000004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>
      <c r="A53" s="4" t="s">
        <v>129</v>
      </c>
      <c r="B53" s="10" t="s">
        <v>89</v>
      </c>
      <c r="C53" s="10" t="s">
        <v>88</v>
      </c>
      <c r="D53" s="10">
        <v>0.19</v>
      </c>
      <c r="E53" s="10">
        <v>2</v>
      </c>
      <c r="F53" s="10">
        <f t="shared" si="1"/>
        <v>1.81</v>
      </c>
      <c r="G53" s="5">
        <v>54.667</v>
      </c>
      <c r="H53" s="10">
        <f>34*24*91/1000</f>
        <v>74.256</v>
      </c>
      <c r="I53" s="5">
        <f t="shared" si="5"/>
        <v>128.923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>
      <c r="A54" s="4" t="s">
        <v>130</v>
      </c>
      <c r="B54" s="10" t="s">
        <v>57</v>
      </c>
      <c r="C54" s="10" t="s">
        <v>56</v>
      </c>
      <c r="D54" s="10">
        <v>0.19</v>
      </c>
      <c r="E54" s="10">
        <v>2</v>
      </c>
      <c r="F54" s="10">
        <f t="shared" si="1"/>
        <v>1.81</v>
      </c>
      <c r="G54" s="5">
        <v>50.65899999999996</v>
      </c>
      <c r="H54" s="10">
        <f>46*24*91/1000</f>
        <v>100.464</v>
      </c>
      <c r="I54" s="5">
        <f>SUM(G54:H54)</f>
        <v>151.12299999999996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10" ht="15.75">
      <c r="A55" s="4" t="s">
        <v>131</v>
      </c>
      <c r="B55" s="6" t="s">
        <v>120</v>
      </c>
      <c r="C55" s="6" t="s">
        <v>119</v>
      </c>
      <c r="D55" s="6">
        <v>0.086</v>
      </c>
      <c r="E55" s="6">
        <v>2</v>
      </c>
      <c r="F55" s="10">
        <f t="shared" si="1"/>
        <v>1.914</v>
      </c>
      <c r="G55" s="5">
        <v>24.554000000000002</v>
      </c>
      <c r="H55" s="6">
        <f>15*24*91/1000</f>
        <v>32.76</v>
      </c>
      <c r="I55" s="5">
        <f>SUM(G55:H55)</f>
        <v>57.314</v>
      </c>
      <c r="J55" s="3"/>
    </row>
    <row r="56" spans="1:10" ht="15.75">
      <c r="A56" s="17" t="s">
        <v>154</v>
      </c>
      <c r="B56" s="18"/>
      <c r="C56" s="19"/>
      <c r="D56" s="8">
        <f>SUM(D5:D55)</f>
        <v>275.03700000000003</v>
      </c>
      <c r="E56" s="8"/>
      <c r="F56" s="8"/>
      <c r="G56" s="8">
        <f>SUM(G5:G55)</f>
        <v>57298.01336099998</v>
      </c>
      <c r="H56" s="8">
        <f>SUM(H5:H55)</f>
        <v>91169.74776000001</v>
      </c>
      <c r="I56" s="8">
        <f>SUM(I5:I55)</f>
        <v>148467.76112100005</v>
      </c>
      <c r="J56" s="3"/>
    </row>
    <row r="57" spans="1:10" ht="15.75">
      <c r="A57" s="2"/>
      <c r="B57" s="3"/>
      <c r="C57" s="3"/>
      <c r="D57" s="3"/>
      <c r="E57" s="3"/>
      <c r="F57" s="3"/>
      <c r="G57" s="3"/>
      <c r="H57" s="3"/>
      <c r="I57" s="3"/>
      <c r="J57" s="3"/>
    </row>
    <row r="58" spans="1:10" ht="15.75">
      <c r="A58" s="2"/>
      <c r="B58" s="3"/>
      <c r="C58" s="3"/>
      <c r="D58" s="3"/>
      <c r="E58" s="3"/>
      <c r="F58" s="3"/>
      <c r="G58" s="3"/>
      <c r="H58" s="3"/>
      <c r="I58" s="3"/>
      <c r="J58" s="3"/>
    </row>
    <row r="59" spans="1:10" ht="15.75">
      <c r="A59" s="2"/>
      <c r="B59" s="3"/>
      <c r="C59" s="3"/>
      <c r="D59" s="3"/>
      <c r="E59" s="3"/>
      <c r="F59" s="3"/>
      <c r="G59" s="3"/>
      <c r="H59" s="3"/>
      <c r="I59" s="3"/>
      <c r="J59" s="3"/>
    </row>
    <row r="60" spans="1:10" ht="15.75">
      <c r="A60" s="2"/>
      <c r="B60" s="3"/>
      <c r="C60" s="3"/>
      <c r="D60" s="3"/>
      <c r="E60" s="3"/>
      <c r="F60" s="3"/>
      <c r="G60" s="3"/>
      <c r="H60" s="3"/>
      <c r="I60" s="3"/>
      <c r="J60" s="3"/>
    </row>
    <row r="61" spans="1:10" ht="15.75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 ht="15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5.75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5.75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5.75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5.75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2:10" ht="15.75">
      <c r="B68" s="3"/>
      <c r="C68" s="3"/>
      <c r="D68" s="3"/>
      <c r="E68" s="3"/>
      <c r="F68" s="3"/>
      <c r="G68" s="3"/>
      <c r="H68" s="3"/>
      <c r="I68" s="3"/>
      <c r="J68" s="3"/>
    </row>
    <row r="69" spans="2:10" ht="15.75">
      <c r="B69" s="3"/>
      <c r="C69" s="3"/>
      <c r="D69" s="3"/>
      <c r="E69" s="3"/>
      <c r="F69" s="3"/>
      <c r="G69" s="3"/>
      <c r="H69" s="3"/>
      <c r="I69" s="3"/>
      <c r="J69" s="3"/>
    </row>
    <row r="70" spans="2:10" ht="15.75">
      <c r="B70" s="3"/>
      <c r="C70" s="3"/>
      <c r="D70" s="3"/>
      <c r="E70" s="3"/>
      <c r="F70" s="3"/>
      <c r="G70" s="3"/>
      <c r="H70" s="3"/>
      <c r="I70" s="3"/>
      <c r="J70" s="3"/>
    </row>
    <row r="71" spans="2:10" ht="15.75">
      <c r="B71" s="3"/>
      <c r="C71" s="3"/>
      <c r="D71" s="3"/>
      <c r="E71" s="3"/>
      <c r="F71" s="3"/>
      <c r="G71" s="3"/>
      <c r="H71" s="3"/>
      <c r="I71" s="3"/>
      <c r="J71" s="3"/>
    </row>
    <row r="72" spans="2:10" ht="15.75">
      <c r="B72" s="3"/>
      <c r="C72" s="3"/>
      <c r="D72" s="3"/>
      <c r="E72" s="3"/>
      <c r="F72" s="3"/>
      <c r="G72" s="3"/>
      <c r="H72" s="3"/>
      <c r="I72" s="3"/>
      <c r="J72" s="3"/>
    </row>
    <row r="73" spans="2:10" ht="15.75">
      <c r="B73" s="3"/>
      <c r="C73" s="3"/>
      <c r="D73" s="3"/>
      <c r="E73" s="3"/>
      <c r="F73" s="3"/>
      <c r="G73" s="3"/>
      <c r="H73" s="3"/>
      <c r="I73" s="3"/>
      <c r="J73" s="3"/>
    </row>
    <row r="74" spans="2:10" ht="15.75">
      <c r="B74" s="3"/>
      <c r="C74" s="3"/>
      <c r="D74" s="3"/>
      <c r="E74" s="3"/>
      <c r="F74" s="3"/>
      <c r="G74" s="3"/>
      <c r="H74" s="3"/>
      <c r="I74" s="3"/>
      <c r="J74" s="3"/>
    </row>
    <row r="75" spans="2:10" ht="15.75">
      <c r="B75" s="3"/>
      <c r="C75" s="3"/>
      <c r="D75" s="3"/>
      <c r="E75" s="3"/>
      <c r="F75" s="3"/>
      <c r="G75" s="3"/>
      <c r="H75" s="3"/>
      <c r="I75" s="3"/>
      <c r="J75" s="3"/>
    </row>
    <row r="76" spans="2:10" ht="15.75">
      <c r="B76" s="3"/>
      <c r="C76" s="3"/>
      <c r="D76" s="3"/>
      <c r="E76" s="3"/>
      <c r="F76" s="3"/>
      <c r="G76" s="3"/>
      <c r="H76" s="3"/>
      <c r="I76" s="3"/>
      <c r="J76" s="3"/>
    </row>
    <row r="77" spans="2:10" ht="15.75">
      <c r="B77" s="3"/>
      <c r="C77" s="3"/>
      <c r="D77" s="3"/>
      <c r="E77" s="3"/>
      <c r="F77" s="3"/>
      <c r="G77" s="3"/>
      <c r="H77" s="3"/>
      <c r="I77" s="3"/>
      <c r="J77" s="3"/>
    </row>
    <row r="78" spans="2:10" ht="15.75">
      <c r="B78" s="3"/>
      <c r="C78" s="3"/>
      <c r="D78" s="3"/>
      <c r="E78" s="3"/>
      <c r="F78" s="3"/>
      <c r="G78" s="3"/>
      <c r="H78" s="3"/>
      <c r="I78" s="3"/>
      <c r="J78" s="3"/>
    </row>
    <row r="79" spans="2:10" ht="15.75">
      <c r="B79" s="3"/>
      <c r="C79" s="3"/>
      <c r="D79" s="3"/>
      <c r="E79" s="3"/>
      <c r="F79" s="3"/>
      <c r="G79" s="3"/>
      <c r="H79" s="3"/>
      <c r="I79" s="3"/>
      <c r="J79" s="3"/>
    </row>
    <row r="80" spans="2:10" ht="15.75">
      <c r="B80" s="3"/>
      <c r="C80" s="3"/>
      <c r="D80" s="3"/>
      <c r="E80" s="3"/>
      <c r="F80" s="3"/>
      <c r="G80" s="3"/>
      <c r="H80" s="3"/>
      <c r="I80" s="3"/>
      <c r="J80" s="3"/>
    </row>
    <row r="81" spans="2:10" ht="15.75">
      <c r="B81" s="3"/>
      <c r="C81" s="3"/>
      <c r="D81" s="3"/>
      <c r="E81" s="3"/>
      <c r="F81" s="3"/>
      <c r="G81" s="3"/>
      <c r="H81" s="3"/>
      <c r="I81" s="3"/>
      <c r="J81" s="3"/>
    </row>
    <row r="82" spans="2:10" ht="15.75">
      <c r="B82" s="3"/>
      <c r="C82" s="3"/>
      <c r="D82" s="3"/>
      <c r="E82" s="3"/>
      <c r="F82" s="3"/>
      <c r="G82" s="3"/>
      <c r="H82" s="3"/>
      <c r="I82" s="3"/>
      <c r="J82" s="3"/>
    </row>
    <row r="83" spans="2:10" ht="15.75">
      <c r="B83" s="3"/>
      <c r="C83" s="3"/>
      <c r="D83" s="3"/>
      <c r="E83" s="3"/>
      <c r="F83" s="3"/>
      <c r="G83" s="3"/>
      <c r="H83" s="3"/>
      <c r="I83" s="3"/>
      <c r="J83" s="3"/>
    </row>
    <row r="84" spans="2:10" ht="15.75">
      <c r="B84" s="3"/>
      <c r="C84" s="3"/>
      <c r="D84" s="3"/>
      <c r="E84" s="3"/>
      <c r="F84" s="3"/>
      <c r="G84" s="3"/>
      <c r="H84" s="3"/>
      <c r="I84" s="3"/>
      <c r="J84" s="3"/>
    </row>
    <row r="85" spans="2:10" ht="15.75">
      <c r="B85" s="3"/>
      <c r="C85" s="3"/>
      <c r="D85" s="3"/>
      <c r="E85" s="3"/>
      <c r="F85" s="3"/>
      <c r="G85" s="3"/>
      <c r="H85" s="3"/>
      <c r="I85" s="3"/>
      <c r="J85" s="3"/>
    </row>
    <row r="86" spans="2:10" ht="15.75">
      <c r="B86" s="3"/>
      <c r="C86" s="3"/>
      <c r="D86" s="3"/>
      <c r="E86" s="3"/>
      <c r="F86" s="3"/>
      <c r="G86" s="3"/>
      <c r="H86" s="3"/>
      <c r="I86" s="3"/>
      <c r="J86" s="3"/>
    </row>
    <row r="87" spans="2:10" ht="15.75">
      <c r="B87" s="3"/>
      <c r="C87" s="3"/>
      <c r="D87" s="3"/>
      <c r="E87" s="3"/>
      <c r="F87" s="3"/>
      <c r="G87" s="3"/>
      <c r="H87" s="3"/>
      <c r="I87" s="3"/>
      <c r="J87" s="3"/>
    </row>
    <row r="88" spans="2:10" ht="15.75">
      <c r="B88" s="3"/>
      <c r="C88" s="3"/>
      <c r="D88" s="3"/>
      <c r="E88" s="3"/>
      <c r="F88" s="3"/>
      <c r="G88" s="3"/>
      <c r="H88" s="3"/>
      <c r="I88" s="3"/>
      <c r="J88" s="3"/>
    </row>
    <row r="89" spans="2:10" ht="15.75">
      <c r="B89" s="3"/>
      <c r="C89" s="3"/>
      <c r="D89" s="3"/>
      <c r="E89" s="3"/>
      <c r="F89" s="3"/>
      <c r="G89" s="3"/>
      <c r="H89" s="3"/>
      <c r="I89" s="3"/>
      <c r="J89" s="3"/>
    </row>
    <row r="90" spans="2:10" ht="15.75">
      <c r="B90" s="3"/>
      <c r="C90" s="3"/>
      <c r="D90" s="3"/>
      <c r="E90" s="3"/>
      <c r="F90" s="3"/>
      <c r="G90" s="3"/>
      <c r="H90" s="3"/>
      <c r="I90" s="3"/>
      <c r="J90" s="3"/>
    </row>
    <row r="91" spans="2:10" ht="15.75">
      <c r="B91" s="3"/>
      <c r="C91" s="3"/>
      <c r="D91" s="3"/>
      <c r="E91" s="3"/>
      <c r="F91" s="3"/>
      <c r="G91" s="3"/>
      <c r="H91" s="3"/>
      <c r="I91" s="3"/>
      <c r="J91" s="3"/>
    </row>
    <row r="92" spans="2:10" ht="15.75">
      <c r="B92" s="3"/>
      <c r="C92" s="3"/>
      <c r="D92" s="3"/>
      <c r="E92" s="3"/>
      <c r="F92" s="3"/>
      <c r="G92" s="3"/>
      <c r="H92" s="3"/>
      <c r="I92" s="3"/>
      <c r="J92" s="3"/>
    </row>
    <row r="93" spans="2:10" ht="15.75">
      <c r="B93" s="3"/>
      <c r="C93" s="3"/>
      <c r="D93" s="3"/>
      <c r="E93" s="3"/>
      <c r="F93" s="3"/>
      <c r="G93" s="3"/>
      <c r="H93" s="3"/>
      <c r="I93" s="3"/>
      <c r="J93" s="3"/>
    </row>
    <row r="94" spans="2:10" ht="15.75">
      <c r="B94" s="3"/>
      <c r="C94" s="3"/>
      <c r="D94" s="3"/>
      <c r="E94" s="3"/>
      <c r="F94" s="3"/>
      <c r="G94" s="3"/>
      <c r="H94" s="3"/>
      <c r="I94" s="3"/>
      <c r="J94" s="3"/>
    </row>
    <row r="95" spans="2:10" ht="15.75">
      <c r="B95" s="3"/>
      <c r="C95" s="3"/>
      <c r="D95" s="3"/>
      <c r="E95" s="3"/>
      <c r="F95" s="3"/>
      <c r="G95" s="3"/>
      <c r="H95" s="3"/>
      <c r="I95" s="3"/>
      <c r="J95" s="3"/>
    </row>
    <row r="96" spans="2:10" ht="15.75">
      <c r="B96" s="3"/>
      <c r="C96" s="3"/>
      <c r="D96" s="3"/>
      <c r="E96" s="3"/>
      <c r="F96" s="3"/>
      <c r="G96" s="3"/>
      <c r="H96" s="3"/>
      <c r="I96" s="3"/>
      <c r="J96" s="3"/>
    </row>
    <row r="97" spans="2:10" ht="15.75">
      <c r="B97" s="3"/>
      <c r="C97" s="3"/>
      <c r="D97" s="3"/>
      <c r="E97" s="3"/>
      <c r="F97" s="3"/>
      <c r="G97" s="3"/>
      <c r="H97" s="3"/>
      <c r="I97" s="3"/>
      <c r="J97" s="3"/>
    </row>
    <row r="98" spans="2:10" ht="15.75">
      <c r="B98" s="3"/>
      <c r="C98" s="3"/>
      <c r="D98" s="3"/>
      <c r="E98" s="3"/>
      <c r="F98" s="3"/>
      <c r="G98" s="3"/>
      <c r="H98" s="3"/>
      <c r="I98" s="3"/>
      <c r="J98" s="3"/>
    </row>
    <row r="99" spans="2:10" ht="15.75">
      <c r="B99" s="3"/>
      <c r="C99" s="3"/>
      <c r="D99" s="3"/>
      <c r="E99" s="3"/>
      <c r="F99" s="3"/>
      <c r="G99" s="3"/>
      <c r="H99" s="3"/>
      <c r="I99" s="3"/>
      <c r="J99" s="3"/>
    </row>
    <row r="100" spans="2:10" ht="15.7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5.7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5.7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5.7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5.7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5.7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5.7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5.75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5.75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5.75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5.7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5.7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5.75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5.75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5.75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5.7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.75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5.7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5.7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5.7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5.7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5.75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5.7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5.75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5.7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5.7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5.7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5.7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5.7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5.7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5.7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5.7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5.75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5.7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5.75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5.75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5.75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5.75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5.75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5.75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5.75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5.75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5.75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5.75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5.75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5.75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5.75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5.75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5.75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5.75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5.75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5.75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5.75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5.75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5.75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5.75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5.75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5.75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5.75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5.75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5.75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5.75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5.75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5.75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5.75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5.75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5.75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5.75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5.75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15.75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15.75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15.75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15.75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15.75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15.75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5.75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5.75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5.75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5.75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5.75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5.75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5.75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5.75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5.75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5.75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5.75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5.75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5.75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5.75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5.75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5.75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5.75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5.75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5.75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5.75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5.75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5.75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5.75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5.75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5.75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5.75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5.75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5.75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5.75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5.75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5.75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5.75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5.75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5.75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5.75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5.75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5.75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5.75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5.75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5.75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5.75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5.75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5.75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5.75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5.75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5.75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5.75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5.75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5.75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5.75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5.75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5.75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5.75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5.75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5.75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5.75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5.75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5.75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5.75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5.75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5.75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5.75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5.75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5.75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5.75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5.75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5.75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5.75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5.7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5.75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5.7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5.75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5.75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5.75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5.75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5.75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5.75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5.75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5.75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5.75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5.75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5.75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5.75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5.75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5.75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5.75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5.75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5.75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5.75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5.75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5.75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5.75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5.75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5.75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5.75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5.75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5.75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5.75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5.75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5.75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5.75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15.75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15.75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15.75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15.75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15.75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15.75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15.75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15.75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15.75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15.75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15.75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15.75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15.75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15.75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15.75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5.75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15.75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15.75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15.75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15.75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15.75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15.75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15.75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15.75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15.75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15.75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15.75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15.75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15.75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15.75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15.75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15.75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15.75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15.75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15.75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15.75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15.75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15.75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15.75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15.75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15.75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15.75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15.75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15.75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15.75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15.75">
      <c r="B321" s="3"/>
      <c r="C321" s="3"/>
      <c r="D321" s="3"/>
      <c r="E321" s="3"/>
      <c r="F321" s="3"/>
      <c r="G321" s="3"/>
      <c r="H321" s="3"/>
      <c r="I321" s="3"/>
      <c r="J321" s="3"/>
    </row>
  </sheetData>
  <sheetProtection/>
  <mergeCells count="8">
    <mergeCell ref="D47:E47"/>
    <mergeCell ref="A56:C56"/>
    <mergeCell ref="A2:I2"/>
    <mergeCell ref="A3:A4"/>
    <mergeCell ref="B3:B4"/>
    <mergeCell ref="C3:C4"/>
    <mergeCell ref="D3:F3"/>
    <mergeCell ref="G3:I3"/>
  </mergeCells>
  <printOptions/>
  <pageMargins left="0.7" right="0.7" top="0.75" bottom="0.75" header="0.3" footer="0.3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1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17" sqref="G17"/>
    </sheetView>
  </sheetViews>
  <sheetFormatPr defaultColWidth="9.140625" defaultRowHeight="15"/>
  <cols>
    <col min="1" max="1" width="6.140625" style="0" customWidth="1"/>
    <col min="2" max="2" width="18.00390625" style="0" customWidth="1"/>
    <col min="3" max="3" width="24.28125" style="0" customWidth="1"/>
    <col min="4" max="4" width="23.00390625" style="0" customWidth="1"/>
    <col min="5" max="5" width="22.7109375" style="0" customWidth="1"/>
    <col min="6" max="6" width="24.421875" style="0" customWidth="1"/>
    <col min="7" max="7" width="20.00390625" style="0" customWidth="1"/>
    <col min="8" max="8" width="28.28125" style="0" customWidth="1"/>
    <col min="9" max="9" width="21.574218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9" t="s">
        <v>155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52.5" customHeight="1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21" t="s">
        <v>2</v>
      </c>
      <c r="B3" s="21" t="s">
        <v>1</v>
      </c>
      <c r="C3" s="21" t="s">
        <v>9</v>
      </c>
      <c r="D3" s="22" t="s">
        <v>0</v>
      </c>
      <c r="E3" s="23"/>
      <c r="F3" s="24"/>
      <c r="G3" s="21" t="s">
        <v>3</v>
      </c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60.75" customHeight="1">
      <c r="A4" s="21"/>
      <c r="B4" s="21"/>
      <c r="C4" s="21"/>
      <c r="D4" s="10" t="s">
        <v>166</v>
      </c>
      <c r="E4" s="10" t="s">
        <v>156</v>
      </c>
      <c r="F4" s="10" t="s">
        <v>167</v>
      </c>
      <c r="G4" s="10" t="s">
        <v>4</v>
      </c>
      <c r="H4" s="10" t="s">
        <v>5</v>
      </c>
      <c r="I4" s="10" t="s">
        <v>16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78.75">
      <c r="A5" s="4" t="s">
        <v>6</v>
      </c>
      <c r="B5" s="10" t="s">
        <v>7</v>
      </c>
      <c r="C5" s="10" t="s">
        <v>20</v>
      </c>
      <c r="D5" s="10">
        <v>198.92</v>
      </c>
      <c r="E5" s="10">
        <v>235</v>
      </c>
      <c r="F5" s="10">
        <f>E5-D5</f>
        <v>36.08000000000001</v>
      </c>
      <c r="G5" s="5">
        <f>(185.223321+9.180841)*1000</f>
        <v>194404.16199999998</v>
      </c>
      <c r="H5" s="10">
        <f>(6697+208)*24*91/1000</f>
        <v>15080.52</v>
      </c>
      <c r="I5" s="5">
        <f aca="true" t="shared" si="0" ref="I5:I10">SUM(G5:H5)</f>
        <v>209484.68199999997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>
      <c r="A6" s="4" t="s">
        <v>11</v>
      </c>
      <c r="B6" s="10" t="s">
        <v>102</v>
      </c>
      <c r="C6" s="10" t="s">
        <v>101</v>
      </c>
      <c r="D6" s="10">
        <v>1.45</v>
      </c>
      <c r="E6" s="10">
        <v>10</v>
      </c>
      <c r="F6" s="10">
        <f aca="true" t="shared" si="1" ref="F6:F55">E6-D6</f>
        <v>8.55</v>
      </c>
      <c r="G6" s="5">
        <f>0.660474*1000</f>
        <v>660.474</v>
      </c>
      <c r="H6" s="5">
        <f>8.27*24*91/1000</f>
        <v>18.06168</v>
      </c>
      <c r="I6" s="5">
        <f t="shared" si="0"/>
        <v>678.5356800000001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47.25">
      <c r="A7" s="4" t="s">
        <v>14</v>
      </c>
      <c r="B7" s="10" t="s">
        <v>25</v>
      </c>
      <c r="C7" s="10" t="s">
        <v>23</v>
      </c>
      <c r="D7" s="10">
        <v>5.89</v>
      </c>
      <c r="E7" s="10">
        <v>10</v>
      </c>
      <c r="F7" s="10">
        <f t="shared" si="1"/>
        <v>4.11</v>
      </c>
      <c r="G7" s="10">
        <f>3.261875*1000</f>
        <v>3261.875</v>
      </c>
      <c r="H7" s="5">
        <f>4215.68*24*91/1000</f>
        <v>9207.04512</v>
      </c>
      <c r="I7" s="5">
        <f t="shared" si="0"/>
        <v>12468.92012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1.5">
      <c r="A8" s="4" t="s">
        <v>18</v>
      </c>
      <c r="B8" s="10" t="s">
        <v>12</v>
      </c>
      <c r="C8" s="10" t="s">
        <v>10</v>
      </c>
      <c r="D8" s="10">
        <v>5.66</v>
      </c>
      <c r="E8" s="10">
        <v>10</v>
      </c>
      <c r="F8" s="10">
        <f t="shared" si="1"/>
        <v>4.34</v>
      </c>
      <c r="G8" s="10">
        <f>2.951738*1000</f>
        <v>2951.7380000000003</v>
      </c>
      <c r="H8" s="10">
        <f>2550*24*91/1000</f>
        <v>5569.2</v>
      </c>
      <c r="I8" s="5">
        <f t="shared" si="0"/>
        <v>8520.938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10" ht="15.75">
      <c r="A9" s="4" t="s">
        <v>22</v>
      </c>
      <c r="B9" s="6" t="s">
        <v>137</v>
      </c>
      <c r="C9" s="6" t="s">
        <v>136</v>
      </c>
      <c r="D9" s="6">
        <v>0.61</v>
      </c>
      <c r="E9" s="6">
        <v>2</v>
      </c>
      <c r="F9" s="10">
        <f t="shared" si="1"/>
        <v>1.3900000000000001</v>
      </c>
      <c r="G9" s="6">
        <f>0.366568*1000</f>
        <v>366.568</v>
      </c>
      <c r="H9" s="7">
        <f>51.9*24*91/1000</f>
        <v>113.3496</v>
      </c>
      <c r="I9" s="5">
        <f t="shared" si="0"/>
        <v>479.9176</v>
      </c>
      <c r="J9" s="3"/>
    </row>
    <row r="10" spans="1:23" ht="31.5">
      <c r="A10" s="4" t="s">
        <v>24</v>
      </c>
      <c r="B10" s="10" t="s">
        <v>17</v>
      </c>
      <c r="C10" s="10" t="s">
        <v>19</v>
      </c>
      <c r="D10" s="10">
        <v>3.54</v>
      </c>
      <c r="E10" s="10">
        <v>5</v>
      </c>
      <c r="F10" s="10">
        <f t="shared" si="1"/>
        <v>1.46</v>
      </c>
      <c r="G10" s="10">
        <f>2.125338*1000</f>
        <v>2125.338</v>
      </c>
      <c r="H10" s="10">
        <f>1351*24*91/1000</f>
        <v>2950.584</v>
      </c>
      <c r="I10" s="5">
        <f t="shared" si="0"/>
        <v>5075.9220000000005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10" ht="15.75">
      <c r="A11" s="4" t="s">
        <v>26</v>
      </c>
      <c r="B11" s="6" t="s">
        <v>139</v>
      </c>
      <c r="C11" s="6" t="s">
        <v>138</v>
      </c>
      <c r="D11" s="6">
        <v>0.17</v>
      </c>
      <c r="E11" s="6">
        <v>1</v>
      </c>
      <c r="F11" s="10">
        <f t="shared" si="1"/>
        <v>0.83</v>
      </c>
      <c r="G11" s="6">
        <f>0.706871*1000</f>
        <v>706.871</v>
      </c>
      <c r="H11" s="7">
        <f>63.9*24*91/1000</f>
        <v>139.5576</v>
      </c>
      <c r="I11" s="5">
        <f aca="true" t="shared" si="2" ref="I11:I17">SUM(G11:H11)</f>
        <v>846.4286</v>
      </c>
      <c r="J11" s="3"/>
    </row>
    <row r="12" spans="1:23" ht="15.75">
      <c r="A12" s="4" t="s">
        <v>27</v>
      </c>
      <c r="B12" s="10" t="s">
        <v>106</v>
      </c>
      <c r="C12" s="10" t="s">
        <v>105</v>
      </c>
      <c r="D12" s="10">
        <v>1.44</v>
      </c>
      <c r="E12" s="10">
        <v>5</v>
      </c>
      <c r="F12" s="10">
        <f t="shared" si="1"/>
        <v>3.56</v>
      </c>
      <c r="G12" s="10">
        <f>0.838405*1000</f>
        <v>838.405</v>
      </c>
      <c r="H12" s="5">
        <f>585.2*24*91/1000</f>
        <v>1278.0768</v>
      </c>
      <c r="I12" s="5">
        <f t="shared" si="2"/>
        <v>2116.4818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75">
      <c r="A13" s="4" t="s">
        <v>28</v>
      </c>
      <c r="B13" s="10" t="s">
        <v>53</v>
      </c>
      <c r="C13" s="10" t="s">
        <v>146</v>
      </c>
      <c r="D13" s="10">
        <v>0.64</v>
      </c>
      <c r="E13" s="10">
        <v>2</v>
      </c>
      <c r="F13" s="10">
        <f t="shared" si="1"/>
        <v>1.3599999999999999</v>
      </c>
      <c r="G13" s="10">
        <f>0.293315*1000</f>
        <v>293.315</v>
      </c>
      <c r="H13" s="5">
        <f>274.7*24*91/1000</f>
        <v>599.9448</v>
      </c>
      <c r="I13" s="5">
        <f t="shared" si="2"/>
        <v>893.2598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1.5">
      <c r="A14" s="4" t="s">
        <v>29</v>
      </c>
      <c r="B14" s="10" t="s">
        <v>147</v>
      </c>
      <c r="C14" s="10" t="s">
        <v>148</v>
      </c>
      <c r="D14" s="10">
        <v>1.24</v>
      </c>
      <c r="E14" s="10">
        <v>2.5</v>
      </c>
      <c r="F14" s="10">
        <f t="shared" si="1"/>
        <v>1.26</v>
      </c>
      <c r="G14" s="13">
        <f>0.290806*1000</f>
        <v>290.806</v>
      </c>
      <c r="H14" s="5">
        <f>863.9*24*91/1000</f>
        <v>1886.7576</v>
      </c>
      <c r="I14" s="5">
        <f t="shared" si="2"/>
        <v>2177.5636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>
      <c r="A15" s="4" t="s">
        <v>30</v>
      </c>
      <c r="B15" s="10" t="s">
        <v>151</v>
      </c>
      <c r="C15" s="10" t="s">
        <v>152</v>
      </c>
      <c r="D15" s="10">
        <v>0.06</v>
      </c>
      <c r="E15" s="10">
        <v>1</v>
      </c>
      <c r="F15" s="10">
        <f t="shared" si="1"/>
        <v>0.94</v>
      </c>
      <c r="G15" s="14">
        <f>28124.673/1000</f>
        <v>28.124672999999998</v>
      </c>
      <c r="H15" s="5">
        <f>1177.9*24*91/1000</f>
        <v>2572.5336</v>
      </c>
      <c r="I15" s="5">
        <f t="shared" si="2"/>
        <v>2600.658273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>
      <c r="A16" s="4" t="s">
        <v>31</v>
      </c>
      <c r="B16" s="10" t="s">
        <v>99</v>
      </c>
      <c r="C16" s="10" t="s">
        <v>98</v>
      </c>
      <c r="D16" s="10">
        <v>3.9</v>
      </c>
      <c r="E16" s="10">
        <v>20</v>
      </c>
      <c r="F16" s="10">
        <f t="shared" si="1"/>
        <v>16.1</v>
      </c>
      <c r="G16" s="10">
        <f>1.75439*1000</f>
        <v>1754.3899999999999</v>
      </c>
      <c r="H16" s="5">
        <f>1108.6*24*91/1000</f>
        <v>2421.1823999999997</v>
      </c>
      <c r="I16" s="5">
        <f t="shared" si="2"/>
        <v>4175.572399999999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>
      <c r="A17" s="4" t="s">
        <v>32</v>
      </c>
      <c r="B17" s="10" t="s">
        <v>149</v>
      </c>
      <c r="C17" s="10" t="s">
        <v>150</v>
      </c>
      <c r="D17" s="10">
        <v>0.07</v>
      </c>
      <c r="E17" s="10">
        <v>1</v>
      </c>
      <c r="F17" s="10">
        <f t="shared" si="1"/>
        <v>0.9299999999999999</v>
      </c>
      <c r="G17" s="14">
        <f>47830.664/1000</f>
        <v>47.830664</v>
      </c>
      <c r="H17" s="10">
        <f>3105.5*24*91/1000</f>
        <v>6782.412</v>
      </c>
      <c r="I17" s="5">
        <f t="shared" si="2"/>
        <v>6830.242664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78.75">
      <c r="A18" s="4" t="s">
        <v>33</v>
      </c>
      <c r="B18" s="10" t="s">
        <v>165</v>
      </c>
      <c r="C18" s="10" t="s">
        <v>21</v>
      </c>
      <c r="D18" s="10">
        <v>22.85</v>
      </c>
      <c r="E18" s="10">
        <v>43</v>
      </c>
      <c r="F18" s="10">
        <f t="shared" si="1"/>
        <v>20.15</v>
      </c>
      <c r="G18" s="10">
        <f>25.355886*1000</f>
        <v>25355.886000000002</v>
      </c>
      <c r="H18" s="10">
        <f>633*24*91/1000</f>
        <v>1382.472</v>
      </c>
      <c r="I18" s="5">
        <f>SUM(G18:H18)</f>
        <v>26738.358000000004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47.25">
      <c r="A19" s="4" t="s">
        <v>34</v>
      </c>
      <c r="B19" s="10" t="s">
        <v>108</v>
      </c>
      <c r="C19" s="10" t="s">
        <v>107</v>
      </c>
      <c r="D19" s="10">
        <v>2.61</v>
      </c>
      <c r="E19" s="10">
        <v>20</v>
      </c>
      <c r="F19" s="10">
        <f t="shared" si="1"/>
        <v>17.39</v>
      </c>
      <c r="G19" s="10">
        <f>1.388467*1000</f>
        <v>1388.4669999999999</v>
      </c>
      <c r="H19" s="10">
        <f>284*24*91/1000</f>
        <v>620.256</v>
      </c>
      <c r="I19" s="5">
        <f aca="true" t="shared" si="3" ref="I19:I32">SUM(G19:H19)</f>
        <v>2008.723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10" ht="15.75">
      <c r="A20" s="4" t="s">
        <v>35</v>
      </c>
      <c r="B20" s="6" t="s">
        <v>141</v>
      </c>
      <c r="C20" s="6" t="s">
        <v>140</v>
      </c>
      <c r="D20" s="6">
        <v>0.56</v>
      </c>
      <c r="E20" s="6">
        <v>2</v>
      </c>
      <c r="F20" s="10">
        <f t="shared" si="1"/>
        <v>1.44</v>
      </c>
      <c r="G20" s="6">
        <f>0.34618*1000</f>
        <v>346.18</v>
      </c>
      <c r="H20" s="6">
        <f>76*24*91/1000</f>
        <v>165.984</v>
      </c>
      <c r="I20" s="5">
        <f t="shared" si="3"/>
        <v>512.164</v>
      </c>
      <c r="J20" s="3"/>
    </row>
    <row r="21" spans="1:23" ht="31.5">
      <c r="A21" s="4" t="s">
        <v>36</v>
      </c>
      <c r="B21" s="10" t="s">
        <v>95</v>
      </c>
      <c r="C21" s="6" t="s">
        <v>94</v>
      </c>
      <c r="D21" s="10">
        <v>0.84</v>
      </c>
      <c r="E21" s="10">
        <v>2</v>
      </c>
      <c r="F21" s="10">
        <f t="shared" si="1"/>
        <v>1.1600000000000001</v>
      </c>
      <c r="G21" s="10">
        <f>0.525113*1000</f>
        <v>525.113</v>
      </c>
      <c r="H21" s="10">
        <f>50*24*91/1000</f>
        <v>109.2</v>
      </c>
      <c r="I21" s="5">
        <f t="shared" si="3"/>
        <v>634.3130000000001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94.5">
      <c r="A22" s="4" t="s">
        <v>37</v>
      </c>
      <c r="B22" s="10" t="s">
        <v>15</v>
      </c>
      <c r="C22" s="10" t="s">
        <v>13</v>
      </c>
      <c r="D22" s="10">
        <v>11.26</v>
      </c>
      <c r="E22" s="10">
        <v>20</v>
      </c>
      <c r="F22" s="10">
        <f t="shared" si="1"/>
        <v>8.74</v>
      </c>
      <c r="G22" s="10">
        <f>5.869086*1000</f>
        <v>5869.086</v>
      </c>
      <c r="H22" s="10">
        <f>14584*24*91/1000</f>
        <v>31851.456</v>
      </c>
      <c r="I22" s="5">
        <f t="shared" si="3"/>
        <v>37720.542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1.5">
      <c r="A23" s="4" t="s">
        <v>38</v>
      </c>
      <c r="B23" s="10" t="s">
        <v>109</v>
      </c>
      <c r="C23" s="10" t="s">
        <v>110</v>
      </c>
      <c r="D23" s="10">
        <v>0.8</v>
      </c>
      <c r="E23" s="10">
        <v>2</v>
      </c>
      <c r="F23" s="10">
        <f t="shared" si="1"/>
        <v>1.2</v>
      </c>
      <c r="G23" s="10">
        <f>0.441654*1000</f>
        <v>441.654</v>
      </c>
      <c r="H23" s="10">
        <f>104*24*91/1000</f>
        <v>227.136</v>
      </c>
      <c r="I23" s="5">
        <f t="shared" si="3"/>
        <v>668.79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10" ht="15.75">
      <c r="A24" s="4" t="s">
        <v>39</v>
      </c>
      <c r="B24" s="6" t="s">
        <v>143</v>
      </c>
      <c r="C24" s="6" t="s">
        <v>142</v>
      </c>
      <c r="D24" s="6">
        <v>0.21</v>
      </c>
      <c r="E24" s="6">
        <v>1</v>
      </c>
      <c r="F24" s="10">
        <f t="shared" si="1"/>
        <v>0.79</v>
      </c>
      <c r="G24" s="6">
        <f>0.131786*1000</f>
        <v>131.78599999999997</v>
      </c>
      <c r="H24" s="6">
        <f>143*24*91/1000</f>
        <v>312.312</v>
      </c>
      <c r="I24" s="5">
        <f t="shared" si="3"/>
        <v>444.09799999999996</v>
      </c>
      <c r="J24" s="3"/>
    </row>
    <row r="25" spans="1:10" ht="15.75">
      <c r="A25" s="4" t="s">
        <v>40</v>
      </c>
      <c r="B25" s="6" t="s">
        <v>114</v>
      </c>
      <c r="C25" s="6" t="s">
        <v>113</v>
      </c>
      <c r="D25" s="6">
        <v>0.13</v>
      </c>
      <c r="E25" s="6">
        <v>2</v>
      </c>
      <c r="F25" s="10">
        <f t="shared" si="1"/>
        <v>1.87</v>
      </c>
      <c r="G25" s="6">
        <f>0.067068*1000</f>
        <v>67.068</v>
      </c>
      <c r="H25" s="6">
        <f>115*24*91/1000</f>
        <v>251.16</v>
      </c>
      <c r="I25" s="5">
        <f t="shared" si="3"/>
        <v>318.228</v>
      </c>
      <c r="J25" s="3"/>
    </row>
    <row r="26" spans="1:10" ht="15.75">
      <c r="A26" s="4" t="s">
        <v>41</v>
      </c>
      <c r="B26" s="6" t="s">
        <v>115</v>
      </c>
      <c r="C26" s="6" t="s">
        <v>116</v>
      </c>
      <c r="D26" s="6">
        <v>0.75</v>
      </c>
      <c r="E26" s="6">
        <v>2</v>
      </c>
      <c r="F26" s="10">
        <f t="shared" si="1"/>
        <v>1.25</v>
      </c>
      <c r="G26" s="6">
        <f>0.406127*1000</f>
        <v>406.127</v>
      </c>
      <c r="H26" s="6">
        <f>114*24*91/1000</f>
        <v>248.976</v>
      </c>
      <c r="I26" s="5">
        <f t="shared" si="3"/>
        <v>655.1030000000001</v>
      </c>
      <c r="J26" s="3"/>
    </row>
    <row r="27" spans="1:23" ht="15.75">
      <c r="A27" s="4" t="s">
        <v>42</v>
      </c>
      <c r="B27" s="10" t="s">
        <v>157</v>
      </c>
      <c r="C27" s="10" t="s">
        <v>158</v>
      </c>
      <c r="D27" s="10">
        <v>0.26</v>
      </c>
      <c r="E27" s="10">
        <v>2</v>
      </c>
      <c r="F27" s="10">
        <f t="shared" si="1"/>
        <v>1.74</v>
      </c>
      <c r="G27" s="10">
        <f>0.183646*1000</f>
        <v>183.64600000000002</v>
      </c>
      <c r="H27" s="10">
        <f>5*24*91/1000</f>
        <v>10.92</v>
      </c>
      <c r="I27" s="5">
        <f t="shared" si="3"/>
        <v>194.566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>
      <c r="A28" s="4" t="s">
        <v>43</v>
      </c>
      <c r="B28" s="10" t="s">
        <v>159</v>
      </c>
      <c r="C28" s="10" t="s">
        <v>160</v>
      </c>
      <c r="D28" s="10">
        <v>0.17</v>
      </c>
      <c r="E28" s="10">
        <v>10</v>
      </c>
      <c r="F28" s="10">
        <f t="shared" si="1"/>
        <v>9.83</v>
      </c>
      <c r="G28" s="10">
        <f>0.087333*1000</f>
        <v>87.333</v>
      </c>
      <c r="H28" s="10">
        <f>15*24*91/1000</f>
        <v>32.76</v>
      </c>
      <c r="I28" s="5">
        <f t="shared" si="3"/>
        <v>120.09299999999999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6.5" customHeight="1">
      <c r="A29" s="4" t="s">
        <v>44</v>
      </c>
      <c r="B29" s="10" t="s">
        <v>48</v>
      </c>
      <c r="C29" s="10" t="s">
        <v>47</v>
      </c>
      <c r="D29" s="10">
        <v>0.37</v>
      </c>
      <c r="E29" s="10">
        <v>2</v>
      </c>
      <c r="F29" s="10">
        <f t="shared" si="1"/>
        <v>1.63</v>
      </c>
      <c r="G29" s="10">
        <f>0.23617*1000</f>
        <v>236.17</v>
      </c>
      <c r="H29" s="10">
        <f>15*24*91/1000</f>
        <v>32.76</v>
      </c>
      <c r="I29" s="5">
        <f t="shared" si="3"/>
        <v>268.93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>
      <c r="A30" s="4" t="s">
        <v>45</v>
      </c>
      <c r="B30" s="10" t="s">
        <v>112</v>
      </c>
      <c r="C30" s="10" t="s">
        <v>111</v>
      </c>
      <c r="D30" s="10">
        <v>0.28</v>
      </c>
      <c r="E30" s="10">
        <v>1</v>
      </c>
      <c r="F30" s="10">
        <f t="shared" si="1"/>
        <v>0.72</v>
      </c>
      <c r="G30" s="10">
        <f>0.183769*1000</f>
        <v>183.76899999999998</v>
      </c>
      <c r="H30" s="10">
        <f>20*24*91/1000</f>
        <v>43.68</v>
      </c>
      <c r="I30" s="5">
        <f t="shared" si="3"/>
        <v>227.44899999999998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>
      <c r="A31" s="4" t="s">
        <v>46</v>
      </c>
      <c r="B31" s="10" t="s">
        <v>69</v>
      </c>
      <c r="C31" s="10" t="s">
        <v>68</v>
      </c>
      <c r="D31" s="10">
        <v>2.07</v>
      </c>
      <c r="E31" s="10">
        <v>5</v>
      </c>
      <c r="F31" s="10">
        <f t="shared" si="1"/>
        <v>2.93</v>
      </c>
      <c r="G31" s="10">
        <f>1.376235*1000</f>
        <v>1376.2350000000001</v>
      </c>
      <c r="H31" s="10">
        <f>15*24*91/1000</f>
        <v>32.76</v>
      </c>
      <c r="I31" s="5">
        <f t="shared" si="3"/>
        <v>1408.9950000000001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>
      <c r="A32" s="4" t="s">
        <v>70</v>
      </c>
      <c r="B32" s="10" t="s">
        <v>170</v>
      </c>
      <c r="C32" s="10" t="s">
        <v>153</v>
      </c>
      <c r="D32" s="10">
        <v>0.66</v>
      </c>
      <c r="E32" s="10">
        <v>10</v>
      </c>
      <c r="F32" s="10">
        <f t="shared" si="1"/>
        <v>9.34</v>
      </c>
      <c r="G32" s="10">
        <f>0.31719*1000</f>
        <v>317.19000000000005</v>
      </c>
      <c r="H32" s="10">
        <f>30*24*91/1000</f>
        <v>65.52</v>
      </c>
      <c r="I32" s="5">
        <f t="shared" si="3"/>
        <v>382.71000000000004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>
      <c r="A33" s="4" t="s">
        <v>71</v>
      </c>
      <c r="B33" s="10" t="s">
        <v>144</v>
      </c>
      <c r="C33" s="10" t="s">
        <v>145</v>
      </c>
      <c r="D33" s="10">
        <v>0.25</v>
      </c>
      <c r="E33" s="10">
        <v>1</v>
      </c>
      <c r="F33" s="10">
        <f t="shared" si="1"/>
        <v>0.75</v>
      </c>
      <c r="G33" s="10">
        <f>0.157598*1000</f>
        <v>157.59799999999998</v>
      </c>
      <c r="H33" s="10">
        <f>10*24*91/1000</f>
        <v>21.84</v>
      </c>
      <c r="I33" s="5">
        <f aca="true" t="shared" si="4" ref="I33:I39">SUM(G33:H33)</f>
        <v>179.438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>
      <c r="A34" s="4" t="s">
        <v>72</v>
      </c>
      <c r="B34" s="10" t="s">
        <v>161</v>
      </c>
      <c r="C34" s="10" t="s">
        <v>162</v>
      </c>
      <c r="D34" s="10">
        <v>0.37</v>
      </c>
      <c r="E34" s="10">
        <v>1</v>
      </c>
      <c r="F34" s="10">
        <f t="shared" si="1"/>
        <v>0.63</v>
      </c>
      <c r="G34" s="10">
        <f>0.198924*1000</f>
        <v>198.92399999999998</v>
      </c>
      <c r="H34" s="10">
        <f>5*24*91/1000</f>
        <v>10.92</v>
      </c>
      <c r="I34" s="5">
        <f t="shared" si="4"/>
        <v>209.84399999999997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10" ht="15.75">
      <c r="A35" s="4" t="s">
        <v>73</v>
      </c>
      <c r="B35" s="6" t="s">
        <v>133</v>
      </c>
      <c r="C35" s="6" t="s">
        <v>132</v>
      </c>
      <c r="D35" s="6">
        <v>0.2</v>
      </c>
      <c r="E35" s="6">
        <v>1</v>
      </c>
      <c r="F35" s="10">
        <f t="shared" si="1"/>
        <v>0.8</v>
      </c>
      <c r="G35" s="6">
        <f>0.099833*1000</f>
        <v>99.833</v>
      </c>
      <c r="H35" s="6">
        <v>0</v>
      </c>
      <c r="I35" s="5">
        <f t="shared" si="4"/>
        <v>99.833</v>
      </c>
      <c r="J35" s="3"/>
    </row>
    <row r="36" spans="1:10" ht="15.75">
      <c r="A36" s="4" t="s">
        <v>74</v>
      </c>
      <c r="B36" s="6" t="s">
        <v>135</v>
      </c>
      <c r="C36" s="6" t="s">
        <v>134</v>
      </c>
      <c r="D36" s="6">
        <v>0.38</v>
      </c>
      <c r="E36" s="6">
        <v>1</v>
      </c>
      <c r="F36" s="10">
        <f t="shared" si="1"/>
        <v>0.62</v>
      </c>
      <c r="G36" s="6">
        <f>0.21485*1000</f>
        <v>214.85000000000002</v>
      </c>
      <c r="H36" s="6">
        <v>0</v>
      </c>
      <c r="I36" s="5">
        <f t="shared" si="4"/>
        <v>214.85000000000002</v>
      </c>
      <c r="J36" s="3"/>
    </row>
    <row r="37" spans="1:23" ht="15.75">
      <c r="A37" s="4" t="s">
        <v>75</v>
      </c>
      <c r="B37" s="10" t="s">
        <v>55</v>
      </c>
      <c r="C37" s="10" t="s">
        <v>54</v>
      </c>
      <c r="D37" s="10">
        <v>0.344</v>
      </c>
      <c r="E37" s="10">
        <v>2</v>
      </c>
      <c r="F37" s="10">
        <f t="shared" si="1"/>
        <v>1.6560000000000001</v>
      </c>
      <c r="G37" s="10">
        <f>0.536215*1000</f>
        <v>536.215</v>
      </c>
      <c r="H37" s="10">
        <v>253.492</v>
      </c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4" t="s">
        <v>76</v>
      </c>
      <c r="B38" s="10" t="s">
        <v>50</v>
      </c>
      <c r="C38" s="10" t="s">
        <v>49</v>
      </c>
      <c r="D38" s="10">
        <v>0.062</v>
      </c>
      <c r="E38" s="10">
        <v>1</v>
      </c>
      <c r="F38" s="10">
        <f t="shared" si="1"/>
        <v>0.938</v>
      </c>
      <c r="G38" s="10">
        <f>0.116013*1000</f>
        <v>116.013</v>
      </c>
      <c r="H38" s="10">
        <f>80*24*91/1000</f>
        <v>174.72</v>
      </c>
      <c r="I38" s="5">
        <f t="shared" si="4"/>
        <v>290.733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>
      <c r="A39" s="4" t="s">
        <v>77</v>
      </c>
      <c r="B39" s="10" t="s">
        <v>52</v>
      </c>
      <c r="C39" s="10" t="s">
        <v>51</v>
      </c>
      <c r="D39" s="10">
        <v>0.24</v>
      </c>
      <c r="E39" s="10">
        <v>2</v>
      </c>
      <c r="F39" s="10">
        <f t="shared" si="1"/>
        <v>1.76</v>
      </c>
      <c r="G39" s="10">
        <f>0.217933*1000</f>
        <v>217.933</v>
      </c>
      <c r="H39" s="10">
        <f>40*24*91/1000</f>
        <v>87.36</v>
      </c>
      <c r="I39" s="5">
        <f t="shared" si="4"/>
        <v>305.293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>
      <c r="A40" s="4" t="s">
        <v>78</v>
      </c>
      <c r="B40" s="10" t="s">
        <v>67</v>
      </c>
      <c r="C40" s="10" t="s">
        <v>66</v>
      </c>
      <c r="D40" s="10">
        <v>2.22</v>
      </c>
      <c r="E40" s="10">
        <v>10</v>
      </c>
      <c r="F40" s="10">
        <f t="shared" si="1"/>
        <v>7.779999999999999</v>
      </c>
      <c r="G40" s="10">
        <f>4.562745*1000</f>
        <v>4562.745</v>
      </c>
      <c r="H40" s="5">
        <f>1061.15*24*91/1000</f>
        <v>2317.5516000000002</v>
      </c>
      <c r="I40" s="5">
        <f aca="true" t="shared" si="5" ref="I40:I53">SUM(G40:H40)</f>
        <v>6880.2966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31.5">
      <c r="A41" s="4" t="s">
        <v>79</v>
      </c>
      <c r="B41" s="10" t="s">
        <v>58</v>
      </c>
      <c r="C41" s="10" t="s">
        <v>59</v>
      </c>
      <c r="D41" s="10">
        <v>0.137</v>
      </c>
      <c r="E41" s="10">
        <v>2</v>
      </c>
      <c r="F41" s="10">
        <f t="shared" si="1"/>
        <v>1.863</v>
      </c>
      <c r="G41" s="10">
        <f>0.206984*1000</f>
        <v>206.984</v>
      </c>
      <c r="H41" s="5">
        <f>21.33*24*91/1000</f>
        <v>46.58472</v>
      </c>
      <c r="I41" s="5">
        <f t="shared" si="5"/>
        <v>253.56872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8" customHeight="1">
      <c r="A42" s="4" t="s">
        <v>80</v>
      </c>
      <c r="B42" s="10" t="s">
        <v>61</v>
      </c>
      <c r="C42" s="10" t="s">
        <v>60</v>
      </c>
      <c r="D42" s="10">
        <v>0.166</v>
      </c>
      <c r="E42" s="10">
        <v>2</v>
      </c>
      <c r="F42" s="10">
        <f t="shared" si="1"/>
        <v>1.834</v>
      </c>
      <c r="G42" s="10">
        <f>0.323651*1000</f>
        <v>323.651</v>
      </c>
      <c r="H42" s="10">
        <f>25*24*91/1000</f>
        <v>54.6</v>
      </c>
      <c r="I42" s="5">
        <f t="shared" si="5"/>
        <v>378.25100000000003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4" t="s">
        <v>81</v>
      </c>
      <c r="B43" s="10" t="s">
        <v>63</v>
      </c>
      <c r="C43" s="10" t="s">
        <v>62</v>
      </c>
      <c r="D43" s="10">
        <v>0.26</v>
      </c>
      <c r="E43" s="10">
        <v>5.8</v>
      </c>
      <c r="F43" s="10">
        <f t="shared" si="1"/>
        <v>5.54</v>
      </c>
      <c r="G43" s="10">
        <f>0.372388*1000</f>
        <v>372.388</v>
      </c>
      <c r="H43" s="5">
        <f>9.6*24*91/1000</f>
        <v>20.966399999999997</v>
      </c>
      <c r="I43" s="5">
        <f t="shared" si="5"/>
        <v>393.3544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>
      <c r="A44" s="4" t="s">
        <v>82</v>
      </c>
      <c r="B44" s="10" t="s">
        <v>65</v>
      </c>
      <c r="C44" s="10" t="s">
        <v>64</v>
      </c>
      <c r="D44" s="10">
        <v>0.18</v>
      </c>
      <c r="E44" s="10">
        <v>3</v>
      </c>
      <c r="F44" s="10">
        <f t="shared" si="1"/>
        <v>2.82</v>
      </c>
      <c r="G44" s="10">
        <f>0.319205*1000</f>
        <v>319.20500000000004</v>
      </c>
      <c r="H44" s="10">
        <f>12.5*24*91/1000</f>
        <v>27.3</v>
      </c>
      <c r="I44" s="5">
        <f t="shared" si="5"/>
        <v>346.50500000000005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>
      <c r="A45" s="4" t="s">
        <v>83</v>
      </c>
      <c r="B45" s="10" t="s">
        <v>85</v>
      </c>
      <c r="C45" s="10" t="s">
        <v>84</v>
      </c>
      <c r="D45" s="10">
        <v>0.086</v>
      </c>
      <c r="E45" s="10">
        <v>3</v>
      </c>
      <c r="F45" s="10">
        <f t="shared" si="1"/>
        <v>2.914</v>
      </c>
      <c r="G45" s="10">
        <f>0.194123*1000</f>
        <v>194.123</v>
      </c>
      <c r="H45" s="5">
        <f>12.87*24*91/1000</f>
        <v>28.108079999999998</v>
      </c>
      <c r="I45" s="5">
        <f t="shared" si="5"/>
        <v>222.23108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>
      <c r="A46" s="4" t="s">
        <v>100</v>
      </c>
      <c r="B46" s="10" t="s">
        <v>87</v>
      </c>
      <c r="C46" s="10" t="s">
        <v>86</v>
      </c>
      <c r="D46" s="10">
        <v>0.109</v>
      </c>
      <c r="E46" s="10">
        <v>2</v>
      </c>
      <c r="F46" s="10">
        <f t="shared" si="1"/>
        <v>1.891</v>
      </c>
      <c r="G46" s="10">
        <f>0.205459*1000</f>
        <v>205.459</v>
      </c>
      <c r="H46" s="5">
        <f>29.03*24*91/1000</f>
        <v>63.401520000000005</v>
      </c>
      <c r="I46" s="5">
        <f t="shared" si="5"/>
        <v>268.86052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31.5">
      <c r="A47" s="4" t="s">
        <v>123</v>
      </c>
      <c r="B47" s="10" t="s">
        <v>97</v>
      </c>
      <c r="C47" s="10" t="s">
        <v>96</v>
      </c>
      <c r="D47" s="15" t="s">
        <v>163</v>
      </c>
      <c r="E47" s="16"/>
      <c r="F47" s="10"/>
      <c r="G47" s="10">
        <f>2.20686*1000</f>
        <v>2206.8599999999997</v>
      </c>
      <c r="H47" s="5">
        <f>37.93*24*91/1000</f>
        <v>82.83912</v>
      </c>
      <c r="I47" s="5">
        <f t="shared" si="5"/>
        <v>2289.6991199999998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31.5">
      <c r="A48" s="4" t="s">
        <v>124</v>
      </c>
      <c r="B48" s="10" t="s">
        <v>164</v>
      </c>
      <c r="C48" s="10" t="s">
        <v>103</v>
      </c>
      <c r="D48" s="10">
        <v>0.121</v>
      </c>
      <c r="E48" s="10">
        <v>3</v>
      </c>
      <c r="F48" s="10">
        <f t="shared" si="1"/>
        <v>2.879</v>
      </c>
      <c r="G48" s="10">
        <f>0.211754*1000</f>
        <v>211.754</v>
      </c>
      <c r="H48" s="5">
        <f>15.53*24*91/1000</f>
        <v>33.917519999999996</v>
      </c>
      <c r="I48" s="5">
        <f t="shared" si="5"/>
        <v>245.67152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>
      <c r="A49" s="4" t="s">
        <v>125</v>
      </c>
      <c r="B49" s="10" t="s">
        <v>93</v>
      </c>
      <c r="C49" s="10" t="s">
        <v>92</v>
      </c>
      <c r="D49" s="10">
        <v>0.235</v>
      </c>
      <c r="E49" s="10">
        <v>3</v>
      </c>
      <c r="F49" s="10">
        <f t="shared" si="1"/>
        <v>2.765</v>
      </c>
      <c r="G49" s="10">
        <f>0.370011*1000</f>
        <v>370.01099999999997</v>
      </c>
      <c r="H49" s="5">
        <f>62.6*24*91/1000</f>
        <v>136.7184</v>
      </c>
      <c r="I49" s="5">
        <f t="shared" si="5"/>
        <v>506.72939999999994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10" ht="15.75">
      <c r="A50" s="4" t="s">
        <v>126</v>
      </c>
      <c r="B50" s="6" t="s">
        <v>118</v>
      </c>
      <c r="C50" s="6" t="s">
        <v>117</v>
      </c>
      <c r="D50" s="6">
        <v>0.107</v>
      </c>
      <c r="E50" s="6">
        <v>2</v>
      </c>
      <c r="F50" s="10">
        <f t="shared" si="1"/>
        <v>1.893</v>
      </c>
      <c r="G50" s="6">
        <f>0.238607*1000</f>
        <v>238.60700000000003</v>
      </c>
      <c r="H50" s="7">
        <f>14.1*24*91/1000</f>
        <v>30.7944</v>
      </c>
      <c r="I50" s="5">
        <f t="shared" si="5"/>
        <v>269.4014</v>
      </c>
      <c r="J50" s="3"/>
    </row>
    <row r="51" spans="1:10" ht="15.75">
      <c r="A51" s="4" t="s">
        <v>127</v>
      </c>
      <c r="B51" s="6" t="s">
        <v>122</v>
      </c>
      <c r="C51" s="6" t="s">
        <v>121</v>
      </c>
      <c r="D51" s="6">
        <v>0.124</v>
      </c>
      <c r="E51" s="6">
        <v>3</v>
      </c>
      <c r="F51" s="10">
        <f t="shared" si="1"/>
        <v>2.876</v>
      </c>
      <c r="G51" s="6">
        <f>0.226262*1000</f>
        <v>226.262</v>
      </c>
      <c r="H51" s="6">
        <f>10*24*91/1000</f>
        <v>21.84</v>
      </c>
      <c r="I51" s="5">
        <f t="shared" si="5"/>
        <v>248.102</v>
      </c>
      <c r="J51" s="3"/>
    </row>
    <row r="52" spans="1:23" ht="47.25">
      <c r="A52" s="4" t="s">
        <v>128</v>
      </c>
      <c r="B52" s="10" t="s">
        <v>91</v>
      </c>
      <c r="C52" s="10" t="s">
        <v>90</v>
      </c>
      <c r="D52" s="10">
        <v>1.57</v>
      </c>
      <c r="E52" s="10">
        <v>10</v>
      </c>
      <c r="F52" s="10">
        <f t="shared" si="1"/>
        <v>8.43</v>
      </c>
      <c r="G52" s="10">
        <f>3.058379*1000</f>
        <v>3058.379</v>
      </c>
      <c r="H52" s="10">
        <f>1588.2*24*91/1000</f>
        <v>3468.6288000000004</v>
      </c>
      <c r="I52" s="5">
        <f t="shared" si="5"/>
        <v>6527.0078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>
      <c r="A53" s="4" t="s">
        <v>129</v>
      </c>
      <c r="B53" s="10" t="s">
        <v>89</v>
      </c>
      <c r="C53" s="10" t="s">
        <v>88</v>
      </c>
      <c r="D53" s="10">
        <v>0.19</v>
      </c>
      <c r="E53" s="10">
        <v>2</v>
      </c>
      <c r="F53" s="10">
        <f t="shared" si="1"/>
        <v>1.81</v>
      </c>
      <c r="G53" s="10">
        <f>(0.339229+0.034781)*1000</f>
        <v>374.01</v>
      </c>
      <c r="H53" s="10">
        <f>34*24*91/1000</f>
        <v>74.256</v>
      </c>
      <c r="I53" s="5">
        <f t="shared" si="5"/>
        <v>448.26599999999996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>
      <c r="A54" s="4" t="s">
        <v>130</v>
      </c>
      <c r="B54" s="10" t="s">
        <v>57</v>
      </c>
      <c r="C54" s="10" t="s">
        <v>56</v>
      </c>
      <c r="D54" s="10">
        <v>0.19</v>
      </c>
      <c r="E54" s="10">
        <v>2</v>
      </c>
      <c r="F54" s="10">
        <f t="shared" si="1"/>
        <v>1.81</v>
      </c>
      <c r="G54" s="10">
        <f>0.313434*1000</f>
        <v>313.43399999999997</v>
      </c>
      <c r="H54" s="10">
        <f>46*24*91/1000</f>
        <v>100.464</v>
      </c>
      <c r="I54" s="5">
        <f>SUM(G54:H54)</f>
        <v>413.89799999999997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10" ht="15.75">
      <c r="A55" s="4" t="s">
        <v>131</v>
      </c>
      <c r="B55" s="6" t="s">
        <v>120</v>
      </c>
      <c r="C55" s="6" t="s">
        <v>119</v>
      </c>
      <c r="D55" s="6">
        <v>0.086</v>
      </c>
      <c r="E55" s="6">
        <v>2</v>
      </c>
      <c r="F55" s="10">
        <f t="shared" si="1"/>
        <v>1.914</v>
      </c>
      <c r="G55" s="6">
        <f>0.16455*1000</f>
        <v>164.55</v>
      </c>
      <c r="H55" s="6">
        <f>15*24*91/1000</f>
        <v>32.76</v>
      </c>
      <c r="I55" s="5">
        <f>SUM(G55:H55)</f>
        <v>197.31</v>
      </c>
      <c r="J55" s="3"/>
    </row>
    <row r="56" spans="1:10" ht="15.75">
      <c r="A56" s="17" t="s">
        <v>154</v>
      </c>
      <c r="B56" s="18"/>
      <c r="C56" s="19"/>
      <c r="D56" s="8">
        <f>SUM(D5:D55)</f>
        <v>275.03700000000003</v>
      </c>
      <c r="E56" s="8"/>
      <c r="F56" s="8"/>
      <c r="G56" s="8">
        <f>SUM(G5:G55)</f>
        <v>259535.39533700002</v>
      </c>
      <c r="H56" s="8">
        <f>SUM(H5:H55)</f>
        <v>91095.63976</v>
      </c>
      <c r="I56" s="8">
        <f>SUM(I5:I55)</f>
        <v>349841.3280969999</v>
      </c>
      <c r="J56" s="3"/>
    </row>
    <row r="57" spans="1:10" ht="15.75">
      <c r="A57" s="2"/>
      <c r="B57" s="3"/>
      <c r="C57" s="3"/>
      <c r="D57" s="3"/>
      <c r="E57" s="3"/>
      <c r="F57" s="3"/>
      <c r="G57" s="3"/>
      <c r="H57" s="3"/>
      <c r="I57" s="3"/>
      <c r="J57" s="3"/>
    </row>
    <row r="58" spans="1:10" ht="15.75">
      <c r="A58" s="2"/>
      <c r="B58" s="3"/>
      <c r="C58" s="3"/>
      <c r="D58" s="3"/>
      <c r="E58" s="3"/>
      <c r="F58" s="3"/>
      <c r="G58" s="3"/>
      <c r="H58" s="3"/>
      <c r="I58" s="3"/>
      <c r="J58" s="3"/>
    </row>
    <row r="59" spans="1:10" ht="15.75">
      <c r="A59" s="2"/>
      <c r="B59" s="3"/>
      <c r="C59" s="3"/>
      <c r="D59" s="3"/>
      <c r="E59" s="3"/>
      <c r="F59" s="3"/>
      <c r="G59" s="3"/>
      <c r="H59" s="3"/>
      <c r="I59" s="3"/>
      <c r="J59" s="3"/>
    </row>
    <row r="60" spans="1:10" ht="15.75">
      <c r="A60" s="2"/>
      <c r="B60" s="3"/>
      <c r="C60" s="3"/>
      <c r="D60" s="3"/>
      <c r="E60" s="3"/>
      <c r="F60" s="3"/>
      <c r="G60" s="3"/>
      <c r="H60" s="3"/>
      <c r="I60" s="3"/>
      <c r="J60" s="3"/>
    </row>
    <row r="61" spans="1:10" ht="15.75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 ht="15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5.75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5.75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5.75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5.75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2:10" ht="15.75">
      <c r="B68" s="3"/>
      <c r="C68" s="3"/>
      <c r="D68" s="3"/>
      <c r="E68" s="3"/>
      <c r="F68" s="3"/>
      <c r="G68" s="3"/>
      <c r="H68" s="3"/>
      <c r="I68" s="3"/>
      <c r="J68" s="3"/>
    </row>
    <row r="69" spans="2:10" ht="15.75">
      <c r="B69" s="3"/>
      <c r="C69" s="3"/>
      <c r="D69" s="3"/>
      <c r="E69" s="3"/>
      <c r="F69" s="3"/>
      <c r="G69" s="3"/>
      <c r="H69" s="3"/>
      <c r="I69" s="3"/>
      <c r="J69" s="3"/>
    </row>
    <row r="70" spans="2:10" ht="15.75">
      <c r="B70" s="3"/>
      <c r="C70" s="3"/>
      <c r="D70" s="3"/>
      <c r="E70" s="3"/>
      <c r="F70" s="3"/>
      <c r="G70" s="3"/>
      <c r="H70" s="3"/>
      <c r="I70" s="3"/>
      <c r="J70" s="3"/>
    </row>
    <row r="71" spans="2:10" ht="15.75">
      <c r="B71" s="3"/>
      <c r="C71" s="3"/>
      <c r="D71" s="3"/>
      <c r="E71" s="3"/>
      <c r="F71" s="3"/>
      <c r="G71" s="3"/>
      <c r="H71" s="3"/>
      <c r="I71" s="3"/>
      <c r="J71" s="3"/>
    </row>
    <row r="72" spans="2:10" ht="15.75">
      <c r="B72" s="3"/>
      <c r="C72" s="3"/>
      <c r="D72" s="3"/>
      <c r="E72" s="3"/>
      <c r="F72" s="3"/>
      <c r="G72" s="3"/>
      <c r="H72" s="3"/>
      <c r="I72" s="3"/>
      <c r="J72" s="3"/>
    </row>
    <row r="73" spans="2:10" ht="15.75">
      <c r="B73" s="3"/>
      <c r="C73" s="3"/>
      <c r="D73" s="3"/>
      <c r="E73" s="3"/>
      <c r="F73" s="3"/>
      <c r="G73" s="3"/>
      <c r="H73" s="3"/>
      <c r="I73" s="3"/>
      <c r="J73" s="3"/>
    </row>
    <row r="74" spans="2:10" ht="15.75">
      <c r="B74" s="3"/>
      <c r="C74" s="3"/>
      <c r="D74" s="3"/>
      <c r="E74" s="3"/>
      <c r="F74" s="3"/>
      <c r="G74" s="3"/>
      <c r="H74" s="3"/>
      <c r="I74" s="3"/>
      <c r="J74" s="3"/>
    </row>
    <row r="75" spans="2:10" ht="15.75">
      <c r="B75" s="3"/>
      <c r="C75" s="3"/>
      <c r="D75" s="3"/>
      <c r="E75" s="3"/>
      <c r="F75" s="3"/>
      <c r="G75" s="3"/>
      <c r="H75" s="3"/>
      <c r="I75" s="3"/>
      <c r="J75" s="3"/>
    </row>
    <row r="76" spans="2:10" ht="15.75">
      <c r="B76" s="3"/>
      <c r="C76" s="3"/>
      <c r="D76" s="3"/>
      <c r="E76" s="3"/>
      <c r="F76" s="3"/>
      <c r="G76" s="3"/>
      <c r="H76" s="3"/>
      <c r="I76" s="3"/>
      <c r="J76" s="3"/>
    </row>
    <row r="77" spans="2:10" ht="15.75">
      <c r="B77" s="3"/>
      <c r="C77" s="3"/>
      <c r="D77" s="3"/>
      <c r="E77" s="3"/>
      <c r="F77" s="3"/>
      <c r="G77" s="3"/>
      <c r="H77" s="3"/>
      <c r="I77" s="3"/>
      <c r="J77" s="3"/>
    </row>
    <row r="78" spans="2:10" ht="15.75">
      <c r="B78" s="3"/>
      <c r="C78" s="3"/>
      <c r="D78" s="3"/>
      <c r="E78" s="3"/>
      <c r="F78" s="3"/>
      <c r="G78" s="3"/>
      <c r="H78" s="3"/>
      <c r="I78" s="3"/>
      <c r="J78" s="3"/>
    </row>
    <row r="79" spans="2:10" ht="15.75">
      <c r="B79" s="3"/>
      <c r="C79" s="3"/>
      <c r="D79" s="3"/>
      <c r="E79" s="3"/>
      <c r="F79" s="3"/>
      <c r="G79" s="3"/>
      <c r="H79" s="3"/>
      <c r="I79" s="3"/>
      <c r="J79" s="3"/>
    </row>
    <row r="80" spans="2:10" ht="15.75">
      <c r="B80" s="3"/>
      <c r="C80" s="3"/>
      <c r="D80" s="3"/>
      <c r="E80" s="3"/>
      <c r="F80" s="3"/>
      <c r="G80" s="3"/>
      <c r="H80" s="3"/>
      <c r="I80" s="3"/>
      <c r="J80" s="3"/>
    </row>
    <row r="81" spans="2:10" ht="15.75">
      <c r="B81" s="3"/>
      <c r="C81" s="3"/>
      <c r="D81" s="3"/>
      <c r="E81" s="3"/>
      <c r="F81" s="3"/>
      <c r="G81" s="3"/>
      <c r="H81" s="3"/>
      <c r="I81" s="3"/>
      <c r="J81" s="3"/>
    </row>
    <row r="82" spans="2:10" ht="15.75">
      <c r="B82" s="3"/>
      <c r="C82" s="3"/>
      <c r="D82" s="3"/>
      <c r="E82" s="3"/>
      <c r="F82" s="3"/>
      <c r="G82" s="3"/>
      <c r="H82" s="3"/>
      <c r="I82" s="3"/>
      <c r="J82" s="3"/>
    </row>
    <row r="83" spans="2:10" ht="15.75">
      <c r="B83" s="3"/>
      <c r="C83" s="3"/>
      <c r="D83" s="3"/>
      <c r="E83" s="3"/>
      <c r="F83" s="3"/>
      <c r="G83" s="3"/>
      <c r="H83" s="3"/>
      <c r="I83" s="3"/>
      <c r="J83" s="3"/>
    </row>
    <row r="84" spans="2:10" ht="15.75">
      <c r="B84" s="3"/>
      <c r="C84" s="3"/>
      <c r="D84" s="3"/>
      <c r="E84" s="3"/>
      <c r="F84" s="3"/>
      <c r="G84" s="3"/>
      <c r="H84" s="3"/>
      <c r="I84" s="3"/>
      <c r="J84" s="3"/>
    </row>
    <row r="85" spans="2:10" ht="15.75">
      <c r="B85" s="3"/>
      <c r="C85" s="3"/>
      <c r="D85" s="3"/>
      <c r="E85" s="3"/>
      <c r="F85" s="3"/>
      <c r="G85" s="3"/>
      <c r="H85" s="3"/>
      <c r="I85" s="3"/>
      <c r="J85" s="3"/>
    </row>
    <row r="86" spans="2:10" ht="15.75">
      <c r="B86" s="3"/>
      <c r="C86" s="3"/>
      <c r="D86" s="3"/>
      <c r="E86" s="3"/>
      <c r="F86" s="3"/>
      <c r="G86" s="3"/>
      <c r="H86" s="3"/>
      <c r="I86" s="3"/>
      <c r="J86" s="3"/>
    </row>
    <row r="87" spans="2:10" ht="15.75">
      <c r="B87" s="3"/>
      <c r="C87" s="3"/>
      <c r="D87" s="3"/>
      <c r="E87" s="3"/>
      <c r="F87" s="3"/>
      <c r="G87" s="3"/>
      <c r="H87" s="3"/>
      <c r="I87" s="3"/>
      <c r="J87" s="3"/>
    </row>
    <row r="88" spans="2:10" ht="15.75">
      <c r="B88" s="3"/>
      <c r="C88" s="3"/>
      <c r="D88" s="3"/>
      <c r="E88" s="3"/>
      <c r="F88" s="3"/>
      <c r="G88" s="3"/>
      <c r="H88" s="3"/>
      <c r="I88" s="3"/>
      <c r="J88" s="3"/>
    </row>
    <row r="89" spans="2:10" ht="15.75">
      <c r="B89" s="3"/>
      <c r="C89" s="3"/>
      <c r="D89" s="3"/>
      <c r="E89" s="3"/>
      <c r="F89" s="3"/>
      <c r="G89" s="3"/>
      <c r="H89" s="3"/>
      <c r="I89" s="3"/>
      <c r="J89" s="3"/>
    </row>
    <row r="90" spans="2:10" ht="15.75">
      <c r="B90" s="3"/>
      <c r="C90" s="3"/>
      <c r="D90" s="3"/>
      <c r="E90" s="3"/>
      <c r="F90" s="3"/>
      <c r="G90" s="3"/>
      <c r="H90" s="3"/>
      <c r="I90" s="3"/>
      <c r="J90" s="3"/>
    </row>
    <row r="91" spans="2:10" ht="15.75">
      <c r="B91" s="3"/>
      <c r="C91" s="3"/>
      <c r="D91" s="3"/>
      <c r="E91" s="3"/>
      <c r="F91" s="3"/>
      <c r="G91" s="3"/>
      <c r="H91" s="3"/>
      <c r="I91" s="3"/>
      <c r="J91" s="3"/>
    </row>
    <row r="92" spans="2:10" ht="15.75">
      <c r="B92" s="3"/>
      <c r="C92" s="3"/>
      <c r="D92" s="3"/>
      <c r="E92" s="3"/>
      <c r="F92" s="3"/>
      <c r="G92" s="3"/>
      <c r="H92" s="3"/>
      <c r="I92" s="3"/>
      <c r="J92" s="3"/>
    </row>
    <row r="93" spans="2:10" ht="15.75">
      <c r="B93" s="3"/>
      <c r="C93" s="3"/>
      <c r="D93" s="3"/>
      <c r="E93" s="3"/>
      <c r="F93" s="3"/>
      <c r="G93" s="3"/>
      <c r="H93" s="3"/>
      <c r="I93" s="3"/>
      <c r="J93" s="3"/>
    </row>
    <row r="94" spans="2:10" ht="15.75">
      <c r="B94" s="3"/>
      <c r="C94" s="3"/>
      <c r="D94" s="3"/>
      <c r="E94" s="3"/>
      <c r="F94" s="3"/>
      <c r="G94" s="3"/>
      <c r="H94" s="3"/>
      <c r="I94" s="3"/>
      <c r="J94" s="3"/>
    </row>
    <row r="95" spans="2:10" ht="15.75">
      <c r="B95" s="3"/>
      <c r="C95" s="3"/>
      <c r="D95" s="3"/>
      <c r="E95" s="3"/>
      <c r="F95" s="3"/>
      <c r="G95" s="3"/>
      <c r="H95" s="3"/>
      <c r="I95" s="3"/>
      <c r="J95" s="3"/>
    </row>
    <row r="96" spans="2:10" ht="15.75">
      <c r="B96" s="3"/>
      <c r="C96" s="3"/>
      <c r="D96" s="3"/>
      <c r="E96" s="3"/>
      <c r="F96" s="3"/>
      <c r="G96" s="3"/>
      <c r="H96" s="3"/>
      <c r="I96" s="3"/>
      <c r="J96" s="3"/>
    </row>
    <row r="97" spans="2:10" ht="15.75">
      <c r="B97" s="3"/>
      <c r="C97" s="3"/>
      <c r="D97" s="3"/>
      <c r="E97" s="3"/>
      <c r="F97" s="3"/>
      <c r="G97" s="3"/>
      <c r="H97" s="3"/>
      <c r="I97" s="3"/>
      <c r="J97" s="3"/>
    </row>
    <row r="98" spans="2:10" ht="15.75">
      <c r="B98" s="3"/>
      <c r="C98" s="3"/>
      <c r="D98" s="3"/>
      <c r="E98" s="3"/>
      <c r="F98" s="3"/>
      <c r="G98" s="3"/>
      <c r="H98" s="3"/>
      <c r="I98" s="3"/>
      <c r="J98" s="3"/>
    </row>
    <row r="99" spans="2:10" ht="15.75">
      <c r="B99" s="3"/>
      <c r="C99" s="3"/>
      <c r="D99" s="3"/>
      <c r="E99" s="3"/>
      <c r="F99" s="3"/>
      <c r="G99" s="3"/>
      <c r="H99" s="3"/>
      <c r="I99" s="3"/>
      <c r="J99" s="3"/>
    </row>
    <row r="100" spans="2:10" ht="15.7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5.7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5.7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5.7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5.7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5.7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5.7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5.75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5.75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5.75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5.7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5.7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5.75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5.75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5.75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5.7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.75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5.7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5.7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5.7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5.7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5.75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5.7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5.75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5.7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5.7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5.7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5.7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5.7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5.7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5.7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5.7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5.75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5.7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5.75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5.75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5.75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5.75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5.75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5.75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5.75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5.75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5.75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5.75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5.75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5.75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5.75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5.75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5.75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5.75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5.75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5.75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5.75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5.75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5.75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5.75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5.75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5.75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5.75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5.75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5.75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5.75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5.75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5.75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5.75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5.75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5.75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5.75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5.75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15.75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15.75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15.75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15.75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15.75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15.75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5.75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5.75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5.75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5.75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5.75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5.75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5.75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5.75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5.75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5.75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5.75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5.75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5.75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5.75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5.75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5.75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5.75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5.75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5.75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5.75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5.75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5.75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5.75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5.75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5.75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5.75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5.75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5.75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5.75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5.75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5.75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5.75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5.75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5.75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5.75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5.75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5.75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5.75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5.75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5.75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5.75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5.75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5.75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5.75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5.75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5.75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5.75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5.75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5.75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5.75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5.75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5.75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5.75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5.75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5.75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5.75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5.75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5.75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5.75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5.75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5.75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5.75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5.75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5.75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5.75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5.75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5.75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5.75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5.7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5.75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5.7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5.75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5.75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5.75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5.75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5.75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5.75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5.75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5.75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5.75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5.75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5.75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5.75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5.75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5.75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5.75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5.75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5.75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5.75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5.75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5.75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5.75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5.75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5.75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5.75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5.75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5.75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5.75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5.75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5.75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5.75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15.75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15.75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15.75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15.75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15.75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15.75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15.75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15.75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15.75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15.75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15.75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15.75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15.75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15.75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15.75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5.75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15.75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15.75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15.75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15.75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15.75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15.75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15.75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15.75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15.75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15.75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15.75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15.75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15.75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15.75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15.75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15.75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15.75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15.75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15.75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15.75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15.75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15.75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15.75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15.75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15.75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15.75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15.75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15.75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15.75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15.75">
      <c r="B321" s="3"/>
      <c r="C321" s="3"/>
      <c r="D321" s="3"/>
      <c r="E321" s="3"/>
      <c r="F321" s="3"/>
      <c r="G321" s="3"/>
      <c r="H321" s="3"/>
      <c r="I321" s="3"/>
      <c r="J321" s="3"/>
    </row>
  </sheetData>
  <sheetProtection/>
  <mergeCells count="8">
    <mergeCell ref="D47:E47"/>
    <mergeCell ref="A56:C56"/>
    <mergeCell ref="A2:I2"/>
    <mergeCell ref="A3:A4"/>
    <mergeCell ref="B3:B4"/>
    <mergeCell ref="C3:C4"/>
    <mergeCell ref="D3:F3"/>
    <mergeCell ref="G3:I3"/>
  </mergeCells>
  <printOptions/>
  <pageMargins left="0.7" right="0.7" top="0.75" bottom="0.75" header="0.3" footer="0.3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2018-10-19T05:37:06Z</dcterms:modified>
  <cp:category/>
  <cp:version/>
  <cp:contentType/>
  <cp:contentStatus/>
</cp:coreProperties>
</file>