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tabRatio="750" activeTab="11"/>
  </bookViews>
  <sheets>
    <sheet name="январь" sheetId="1" r:id="rId1"/>
    <sheet name="февраль" sheetId="2" r:id="rId2"/>
    <sheet name="март" sheetId="3" r:id="rId3"/>
    <sheet name="1 квартал" sheetId="4" r:id="rId4"/>
    <sheet name="апрель" sheetId="5" r:id="rId5"/>
    <sheet name="май" sheetId="6" r:id="rId6"/>
    <sheet name="июнь" sheetId="7" r:id="rId7"/>
    <sheet name="2 квартал" sheetId="8" r:id="rId8"/>
    <sheet name="июль" sheetId="9" r:id="rId9"/>
    <sheet name="август" sheetId="10" r:id="rId10"/>
    <sheet name="сентябрь" sheetId="11" r:id="rId11"/>
    <sheet name="3 квартал" sheetId="12" r:id="rId12"/>
    <sheet name="октябрь" sheetId="13" state="hidden" r:id="rId13"/>
    <sheet name="ноябрь" sheetId="14" state="hidden" r:id="rId14"/>
    <sheet name="декабрь" sheetId="15" state="hidden" r:id="rId15"/>
    <sheet name="4 квартал" sheetId="16" state="hidden" r:id="rId16"/>
    <sheet name="за 2017г." sheetId="17" state="hidden" r:id="rId17"/>
    <sheet name="сводка" sheetId="18" state="hidden" r:id="rId18"/>
  </sheets>
  <externalReferences>
    <externalReference r:id="rId21"/>
    <externalReference r:id="rId22"/>
  </externalReferences>
  <definedNames>
    <definedName name="_xlnm._FilterDatabase" localSheetId="17" hidden="1">'сводка'!$A$10:$J$118</definedName>
  </definedNames>
  <calcPr fullCalcOnLoad="1"/>
</workbook>
</file>

<file path=xl/comments18.xml><?xml version="1.0" encoding="utf-8"?>
<comments xmlns="http://schemas.openxmlformats.org/spreadsheetml/2006/main">
  <authors>
    <author>Шамаева Ирина Олеговна</author>
  </authors>
  <commentList>
    <comment ref="N78" authorId="0">
      <text>
        <r>
          <rPr>
            <b/>
            <sz val="9"/>
            <rFont val="Tahoma"/>
            <family val="2"/>
          </rPr>
          <t>Шамаева Ирина Олеговна:</t>
        </r>
        <r>
          <rPr>
            <sz val="9"/>
            <rFont val="Tahoma"/>
            <family val="2"/>
          </rPr>
          <t xml:space="preserve">
изменение объёмов ДС №2</t>
        </r>
      </text>
    </comment>
  </commentList>
</comments>
</file>

<file path=xl/sharedStrings.xml><?xml version="1.0" encoding="utf-8"?>
<sst xmlns="http://schemas.openxmlformats.org/spreadsheetml/2006/main" count="1276" uniqueCount="456">
  <si>
    <t>№ п/п</t>
  </si>
  <si>
    <t>к приказу ФАС России</t>
  </si>
  <si>
    <t>от 23.12.2011 № 893</t>
  </si>
  <si>
    <t>Приложение 5</t>
  </si>
  <si>
    <t>Информация о способах приобретения, стоимости и об объемах товаров,</t>
  </si>
  <si>
    <t>Зона входа в газораспредели-тельную сеть</t>
  </si>
  <si>
    <t>Зона выхода из газораспредели-тельной сети</t>
  </si>
  <si>
    <t>Наименование газораспредели-тельной сети</t>
  </si>
  <si>
    <t>Стоимость приобретаемых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</si>
  <si>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Способы приобретения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</si>
  <si>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ООО "Металлоцентр Лидер-М"</t>
  </si>
  <si>
    <t>конкурс</t>
  </si>
  <si>
    <t>1</t>
  </si>
  <si>
    <t>Объемы приобретаемых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</si>
  <si>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Виды (группы) товаров (работ, услуг), необходимых для оказания услуг по транспортировке газа по газораспределительной сети</t>
  </si>
  <si>
    <t>ООО "ТД ПТПА"</t>
  </si>
  <si>
    <t>ЗАО "Техсервис-Якутия"</t>
  </si>
  <si>
    <t>ООО "Колми"</t>
  </si>
  <si>
    <t>котировка</t>
  </si>
  <si>
    <t>Бензин и дизтопливо</t>
  </si>
  <si>
    <t>Электротехнические материалы</t>
  </si>
  <si>
    <t>Запчасти и материалы для текущего ремонта и обслуживания автотранспортной, специальной и тракторной техники</t>
  </si>
  <si>
    <t>Материалы на текущий ремонт, обслуживание и эксплуатацию производственного оборудования и сооружений, кроме строительных материалов и инструментов (в статью также входят запорная арматура, трубы (не строительные), детали и т.п. )</t>
  </si>
  <si>
    <t>Прочие ГСМ</t>
  </si>
  <si>
    <t>Оборудование</t>
  </si>
  <si>
    <t>Зона входа в газораспределительную сеть</t>
  </si>
  <si>
    <t>Зона выхода из газораспределительной сети</t>
  </si>
  <si>
    <t>Стоимость приобретаемых товаров (работ, услуг) отдельно по каждому виду (группе) товаров, необходимых для оказания услуг по транспортировке газа по газораспределительной сети</t>
  </si>
  <si>
    <t>2</t>
  </si>
  <si>
    <t>3</t>
  </si>
  <si>
    <t>4</t>
  </si>
  <si>
    <t>5</t>
  </si>
  <si>
    <t>6</t>
  </si>
  <si>
    <t>Прочие материалы</t>
  </si>
  <si>
    <t>7</t>
  </si>
  <si>
    <t>Техника (приобретение)</t>
  </si>
  <si>
    <t>8</t>
  </si>
  <si>
    <t>ООО "Сервис-Ойл"</t>
  </si>
  <si>
    <t>УГРС</t>
  </si>
  <si>
    <t>АО "Саханефтегазсбыт"</t>
  </si>
  <si>
    <t>ООО "АЛГОЛ ДВ"</t>
  </si>
  <si>
    <t>ООО ТД "Ставропольхимстрой"</t>
  </si>
  <si>
    <t>Поставка ГСМ через ПК Вилюйск, Ханг, Ввил, Ленск, Жатай (Лот №4)</t>
  </si>
  <si>
    <t>Поставка изоляционных материалов для подразделений АО «Сахатранснефтегаз» на 2017 год.</t>
  </si>
  <si>
    <t>ООО НПП "Трансгазремонт"</t>
  </si>
  <si>
    <t>необходимых для оказания услуг по транспортировке газа по газораспределительным сетям АО "Сахатранснефтегаз" за октябрь 2016г.</t>
  </si>
  <si>
    <t>необходимых для оказания услуг по транспортировке газа по газораспределительным сетям АО "Сахатранснефтегаз" за ноябрь 2016г.</t>
  </si>
  <si>
    <t>необходимых для оказания услуг по транспортировке газа по газораспределительным сетям АО "Сахатранснефтегаз" за декабрь 2016г.</t>
  </si>
  <si>
    <t>необходимых для оказания услуг по транспортировке газа по газораспределительным сетям АО "Сахатранснефтегаз" за 4 квартал 2016г.</t>
  </si>
  <si>
    <t>6 шт.</t>
  </si>
  <si>
    <t>конкурс, котировка, прямая закупка</t>
  </si>
  <si>
    <t>64305 л., 150309 л.</t>
  </si>
  <si>
    <t>необходимых для оказания услуг по транспортировке газа по газораспределительным сетям АО "Сахатранснефтегаз" за  2016г.</t>
  </si>
  <si>
    <t>УДТГ</t>
  </si>
  <si>
    <t>ЛПУМГ</t>
  </si>
  <si>
    <t>ЯГПЗ</t>
  </si>
  <si>
    <t>УТС</t>
  </si>
  <si>
    <t>представительство</t>
  </si>
  <si>
    <t>СМУ</t>
  </si>
  <si>
    <t>АУП</t>
  </si>
  <si>
    <t>ООО "Управляющая компания ТЕХСТРОЙКОНТРАКТ"</t>
  </si>
  <si>
    <t>1/17-мтс от 11.01.2016</t>
  </si>
  <si>
    <t>поставка экскаватора HITACHI ZX180LCN-5G с дополнительным оборудованием</t>
  </si>
  <si>
    <t>дополнительное оборудование</t>
  </si>
  <si>
    <t>2/17-мтс от 13.01.2017</t>
  </si>
  <si>
    <t>Поставка легкового автотранспорта для нужд УГРС АО "Сахатранснефтегаз"</t>
  </si>
  <si>
    <t>ООО "Челябинский Завод Деталей Трубопроводов"</t>
  </si>
  <si>
    <t>4/17-мтс от 17.01.2017г.</t>
  </si>
  <si>
    <t>Поставка соединительных деталей для подразделений АО «Сахатранснефтегаз» на 2017 год.</t>
  </si>
  <si>
    <t>ООО "НГСК"</t>
  </si>
  <si>
    <t>5/17-мтс от 16.01.2017г.</t>
  </si>
  <si>
    <t>Поставка сварочных материалов для подразделений АО «Сахатранснефтегаз» на 2017 год.</t>
  </si>
  <si>
    <t>6/17-мтс от 19.01.2017</t>
  </si>
  <si>
    <t>поставка запасных часте на спецтехнику ТРЭКОЛ, ГАЗ, ЗЗГТ</t>
  </si>
  <si>
    <t>7/17-мтс от 18.01.2017г.</t>
  </si>
  <si>
    <t>Поставка запорной и регулирующей арматуры для выполнения строительно-монтажных работ по объекту строительства «МГ Вилюйск – Верневилюйск. Резервная нитка на переходе через р. Чыбыда»</t>
  </si>
  <si>
    <t>ООО "Газрегионпоставка"</t>
  </si>
  <si>
    <t>8/17-мтс от 19.01.2017г.</t>
  </si>
  <si>
    <t>Поставка запорной и регулирующей арматуры для подразделения УДиТГ АО «Сахатранснефтегаз» на 2017 год. (производства ООО "ТюменНИИгипрогаз")</t>
  </si>
  <si>
    <t>ООО "Торлион"</t>
  </si>
  <si>
    <t>9/17-мтс от 23.01.2017г.</t>
  </si>
  <si>
    <t xml:space="preserve">Поставка комплекта радиооборудования для радиолинейной линии по объекту: «РРЛ База ЛПУМГ-ГРС-1, База ЛПУМГ-ГРС-2» </t>
  </si>
  <si>
    <t>ООО "Геостройизыскания-Хабаровск"</t>
  </si>
  <si>
    <t>10/17-мтс</t>
  </si>
  <si>
    <t>Поставка геодезического оборудования</t>
  </si>
  <si>
    <t>11/17-мтс от 23.01.2017</t>
  </si>
  <si>
    <t>поставка запасных частей ГАЗ, ЗЗГТ</t>
  </si>
  <si>
    <t>12/17-мтс от 23.01.2017</t>
  </si>
  <si>
    <t>поставка экскаватора - погрузчика CASE 570-ST и дополнительного оборудования</t>
  </si>
  <si>
    <t>ООО "СахаУниверсал"</t>
  </si>
  <si>
    <t>15/17-мтс от 30.01.2017г.</t>
  </si>
  <si>
    <t>Поставка электротехнической продукции для АО "Сахатранснефтегаз"</t>
  </si>
  <si>
    <t>26/17-хоз от 27.01.2017</t>
  </si>
  <si>
    <t>поставка ЗП  ТТМ. ЗЗГТ</t>
  </si>
  <si>
    <t>ООО ПМК "Айрон-Строй"</t>
  </si>
  <si>
    <t>16/17-мтс от 27.01.2017г</t>
  </si>
  <si>
    <t>поставка резервуаров</t>
  </si>
  <si>
    <t>ООО "НефтеГазовый Элемент"</t>
  </si>
  <si>
    <t>17/17-мтс от 30.01.2017г</t>
  </si>
  <si>
    <t>поставка автоматических редуцирующих пунктов</t>
  </si>
  <si>
    <t>18/17-мтс от 06.02.2017г.</t>
  </si>
  <si>
    <t>Поставка запорной и регулирующей арматуры (до д.300) для нужд подразделений АО «Сахатранснефтегаз» на 2017 год</t>
  </si>
  <si>
    <t>19/17-мтс от 06.02.2017г.</t>
  </si>
  <si>
    <t>Поставка запорной и регулирующей арматуры (от д.300) для нужд подразделений АО «Сахатранснефтегаз» на 2017 год</t>
  </si>
  <si>
    <t>20/17-мтс от 03.02.2017г.</t>
  </si>
  <si>
    <t>Приобретение комплектов радиооборудования для объектов:  «РРС-1 с. Бясь-Кюель М/Гп к с. Бердигестях», «РРС-2 с. Бясь-Кюель М/Гп к с. Бердигестях», «МГ к с. Бердигестях. Горного улуса Республики Саха (Якутия). РРС-3», «МГ к с. Бердигестях. Горного улуса Республики Саха (Якутия) УРС-4/1».</t>
  </si>
  <si>
    <t>21/17-мтс от 13.02.2017</t>
  </si>
  <si>
    <t>Поставка Сварочного агрегата Denio для нужд УГРС АО "Сахатранснефтегаз"</t>
  </si>
  <si>
    <t>22/17-мтс от 14.02.2017</t>
  </si>
  <si>
    <t>Поставка ТС группы УАЗ для нужд подразделений АО "Сахатранснефтегаз"</t>
  </si>
  <si>
    <t>22/17-мтс-д-1 от 14.02.2017</t>
  </si>
  <si>
    <t>ООО "ХИТ МАШИНЕРИ"</t>
  </si>
  <si>
    <t>23/17-мтс от 14.02.2017</t>
  </si>
  <si>
    <t xml:space="preserve">поставка экскаватора HITACHI ZX330LC-5G </t>
  </si>
  <si>
    <t>ООО "Брассика"</t>
  </si>
  <si>
    <t>25/17-мтс от 15.02.2017г.</t>
  </si>
  <si>
    <t>поставки здания КПП на ул.Автодорожная</t>
  </si>
  <si>
    <t>ООО "ПОЛИПЛАСТИК Сибирь"</t>
  </si>
  <si>
    <t>27/17-мтс от 16.02.2017г.</t>
  </si>
  <si>
    <t>Поставка полиэтиленовой трубной продукции и фитингов для нужд подразделений АО «Сахатранснефтегаз» на 2017 год.</t>
  </si>
  <si>
    <t>28/17-мтс от 20.02.2017</t>
  </si>
  <si>
    <t>Поставка элементов питания для нужд подразделения УГРС АО «Сахатранснефтегаз».</t>
  </si>
  <si>
    <t>29/17-мтс от 21.02.2017г.</t>
  </si>
  <si>
    <t>30/17-мтс от 22.02.2017</t>
  </si>
  <si>
    <t>Поставка электротехнической продукции для подразделения УДиТГ АО «Сахатранснефтегаз» на 2017 год.</t>
  </si>
  <si>
    <t>ООО "Компания ДЭП"</t>
  </si>
  <si>
    <t>31/17-мтс от 22.02.2017г.</t>
  </si>
  <si>
    <t>Поставка контроллеров и модулей для ЛПУМГ АО СТНГ</t>
  </si>
  <si>
    <t>Индивидуальный предприниматель Субботина А.М.</t>
  </si>
  <si>
    <t>32/17-мтс от 22.02.2017г.</t>
  </si>
  <si>
    <t>Поставка системы звук.трансляции для ЛПУМГ</t>
  </si>
  <si>
    <t>ООО "Первая арматурная компания"</t>
  </si>
  <si>
    <t>33/17-мтс от 01.03.2017</t>
  </si>
  <si>
    <t>Поставка запорной арматуры для УГРС</t>
  </si>
  <si>
    <t>34/17-мтс от 01.03.2017</t>
  </si>
  <si>
    <t>Поставка оборудования для подразделения УДиТГ АО «Сахатранснефтегаз» на 2017 год.</t>
  </si>
  <si>
    <t>ООО "КРАС-КО"</t>
  </si>
  <si>
    <t>35/17-мтс от 01.03.2017г.</t>
  </si>
  <si>
    <t>Поставка элементов трубопроводов для подразделений АО «Сахатранснефтегаз» на 2017 год.</t>
  </si>
  <si>
    <t>37/17-мтс от 02.03.2017</t>
  </si>
  <si>
    <t>Поставка изоляционных материалов для подразделения УТС АО «Сахатранснефтегаз» на 2017 год (утеплитель Кнауф)</t>
  </si>
  <si>
    <t>ООО "АТЛЕТ"</t>
  </si>
  <si>
    <t>38/17-мтс от 02.03.2017</t>
  </si>
  <si>
    <t>Поставка мини-эксковатора для нужд подразделения ЛПУМГ</t>
  </si>
  <si>
    <t>39/17-мтс от 03.03.2017</t>
  </si>
  <si>
    <t>Поставка оборудования для нужд подразделений АО «Сахатранснефтегаз» на 2017 год.</t>
  </si>
  <si>
    <t>40/17-мтс от 03.03.2017</t>
  </si>
  <si>
    <t>Поставка запорной и регулирующей арматуры для нужд подразделений АО «Сахатранснефтегаз» на 2017 год.</t>
  </si>
  <si>
    <t>ИП Мельников Р.В.</t>
  </si>
  <si>
    <t>41/17-мтс от 06.03.2017</t>
  </si>
  <si>
    <t>поставка запасных частей на транспортные средства</t>
  </si>
  <si>
    <t>ООО "АЗИМУТ"</t>
  </si>
  <si>
    <t>42/17-мтс от 06.03.2017</t>
  </si>
  <si>
    <t>поставка автобуса КАВЗ 4235-12 АВРОРА</t>
  </si>
  <si>
    <t>ООО "Автомол"</t>
  </si>
  <si>
    <t>43/17мтс от 07.03.2017</t>
  </si>
  <si>
    <t>Поставка лодочных моторов</t>
  </si>
  <si>
    <t>ООО "Арамильский Завод "СтройДорМаш"</t>
  </si>
  <si>
    <t>44/17-мтс от 09.03.2017</t>
  </si>
  <si>
    <t>поставка ТС на шасси УРАЛ</t>
  </si>
  <si>
    <t>46/17-мтс от 15.03.2017</t>
  </si>
  <si>
    <t>Поставка трубной продукции для нужд подразделений АО «Сахатранснефтегаз» на 2017 год.</t>
  </si>
  <si>
    <t>ООО ФПК "Уральская Марка"</t>
  </si>
  <si>
    <t>48/17-мтс от 17.03.2017</t>
  </si>
  <si>
    <t>51/17-мтс от 27.03.2017г</t>
  </si>
  <si>
    <t>Поставка ГСМ наливом с Як.нефтебазы (Лот №10)</t>
  </si>
  <si>
    <t>52/17-мтс от 27.03.2017г</t>
  </si>
  <si>
    <t>Поставка ГСМ наливом с Вил.нефтебазы (Лот №9)</t>
  </si>
  <si>
    <t>55/17-мтс от 27.03.2017г</t>
  </si>
  <si>
    <t>Поставка ГСМ через ПК Вилюйск, Бердигестях, Якутск (Лот №6)</t>
  </si>
  <si>
    <t>56/17-мтс от 27.03.2017г</t>
  </si>
  <si>
    <t>Поставка ГСМ через ПК Як, М-Канг, Горн (Орто-Сурт) (Лот №5)</t>
  </si>
  <si>
    <t>57/17-мтс от 27.03.2017г</t>
  </si>
  <si>
    <t>58/17-мтс от 27.03.2017г</t>
  </si>
  <si>
    <t>Поставка ГСМ через ПК Намцы, Як, М-Канг, Кобяй, Вил, Горн (Лот №3)</t>
  </si>
  <si>
    <t>59/17-мтс от 27.03.2017г</t>
  </si>
  <si>
    <t>поставка нефтепродуктов ПК Якутск (Лот №2)</t>
  </si>
  <si>
    <t>60/17-мтс от 27.03.2017г</t>
  </si>
  <si>
    <t>Поставка ГСМ ПК через АЗС Як, М.-Канг.(Лот №1)</t>
  </si>
  <si>
    <t>ООО "Арамильский завод "СтройДорМаш"</t>
  </si>
  <si>
    <t>61/17-мтс от 27.03.2017</t>
  </si>
  <si>
    <t>поставка запасных частей на ТС группы УРАЛ</t>
  </si>
  <si>
    <t>62/17-мтс</t>
  </si>
  <si>
    <t>Поставка ТС группы ЛАДА для нужд подразделения УГРС АО "Сахатранснефтегаз"</t>
  </si>
  <si>
    <t>63/17-мтс</t>
  </si>
  <si>
    <t>Поставка ТС группы ГАЗ для нужд подразделения УГРС АО "Сахатранснефтегаз"</t>
  </si>
  <si>
    <t>64/17-мтс</t>
  </si>
  <si>
    <t xml:space="preserve">Поставка компрессора  Аирман для нужд подразделения УГРС АО "Сахатранснефтегаз" </t>
  </si>
  <si>
    <t>необходимых для оказания услуг по транспортировке газа по газораспределительным сетям АО "Сахатранснефтегаз" за январь 2017г.</t>
  </si>
  <si>
    <t>необходимых для оказания услуг по транспортировке газа по газораспределительным сетям АО "Сахатранснефтегаз" за февраль 2017г.</t>
  </si>
  <si>
    <t>необходимых для оказания услуг по транспортировке газа по газораспределительным сетям АО "Сахатранснефтегаз" за март 2017г.</t>
  </si>
  <si>
    <t>необходимых для оказания услуг по транспортировке газа по газораспределительным сетям АО "Сахатранснефтегаз" за I квартал 2017г.</t>
  </si>
  <si>
    <t>необходимых для оказания услуг по транспортировке газа по газораспределительным сетям АО "Сахатранснефтегаз" по состоянию</t>
  </si>
  <si>
    <t>январь</t>
  </si>
  <si>
    <t>февраль</t>
  </si>
  <si>
    <t>март</t>
  </si>
  <si>
    <t>1 ед.</t>
  </si>
  <si>
    <t>1485 шт.</t>
  </si>
  <si>
    <t>12 шт.</t>
  </si>
  <si>
    <t>120 шт.</t>
  </si>
  <si>
    <t>2 м., 261 шт.</t>
  </si>
  <si>
    <t>33 шт.</t>
  </si>
  <si>
    <t>2808 шт.</t>
  </si>
  <si>
    <t>4 ед.</t>
  </si>
  <si>
    <t>4 шт.</t>
  </si>
  <si>
    <t>114 шт.</t>
  </si>
  <si>
    <t>9 шт.</t>
  </si>
  <si>
    <t>188 м., 1667 шт.</t>
  </si>
  <si>
    <t>35 шт.</t>
  </si>
  <si>
    <t>50 шт.</t>
  </si>
  <si>
    <t>64 шт.</t>
  </si>
  <si>
    <t>3 шт.</t>
  </si>
  <si>
    <t>106 шт.</t>
  </si>
  <si>
    <t>69 шт.</t>
  </si>
  <si>
    <t>2 шт.</t>
  </si>
  <si>
    <t>932 шт.</t>
  </si>
  <si>
    <t>3 ед.</t>
  </si>
  <si>
    <t>4184 шт.</t>
  </si>
  <si>
    <t>7780 кг.</t>
  </si>
  <si>
    <t>4340 м., 5117 шт.</t>
  </si>
  <si>
    <t>16 ед.</t>
  </si>
  <si>
    <t>1 шт.</t>
  </si>
  <si>
    <t>3997 шт., 6710 м.</t>
  </si>
  <si>
    <t>1500 шт.</t>
  </si>
  <si>
    <t>3085 кг.</t>
  </si>
  <si>
    <t>19418 шт.</t>
  </si>
  <si>
    <t>60 шт.</t>
  </si>
  <si>
    <t>19991 м.</t>
  </si>
  <si>
    <t>348 шт.</t>
  </si>
  <si>
    <t>централиз</t>
  </si>
  <si>
    <t>котировка, конкурс</t>
  </si>
  <si>
    <t>прямая закупка</t>
  </si>
  <si>
    <t>2 ед.</t>
  </si>
  <si>
    <t>204050 л.</t>
  </si>
  <si>
    <t>10 ед.</t>
  </si>
  <si>
    <t>583 шт.</t>
  </si>
  <si>
    <t>184 шт</t>
  </si>
  <si>
    <t>2866 шт</t>
  </si>
  <si>
    <t>1515 шт.</t>
  </si>
  <si>
    <t>4368 шт.; 7780 кг.</t>
  </si>
  <si>
    <t>4340 м., 7983 шт.</t>
  </si>
  <si>
    <t>котировка, прямая закупка</t>
  </si>
  <si>
    <t>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t>
  </si>
  <si>
    <t>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t>
  </si>
  <si>
    <t>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t>
  </si>
  <si>
    <t>843 шт</t>
  </si>
  <si>
    <t>прямые закупки: 883 438 руб;     малые закупки: 787 873 руб.</t>
  </si>
  <si>
    <t>1402 шт</t>
  </si>
  <si>
    <t>прямые закупки: 35 600 руб;     малые закупки: 893 252 руб.</t>
  </si>
  <si>
    <t>124 шт</t>
  </si>
  <si>
    <t>прямые закупки: 31 152 руб;    малые закупки: -</t>
  </si>
  <si>
    <t>641 шт</t>
  </si>
  <si>
    <t>малые закупки: 378 925 руб.</t>
  </si>
  <si>
    <t>прямые закупки,  малые закупки</t>
  </si>
  <si>
    <t>прямая закупка, котировка, малые закупки</t>
  </si>
  <si>
    <t>конкурс, прямая закупка, котировка, малые закупки</t>
  </si>
  <si>
    <t>124 шт.</t>
  </si>
  <si>
    <t>прямая закупка, малые закупки</t>
  </si>
  <si>
    <t>2141 шт.</t>
  </si>
  <si>
    <t>5399 шт., 6710 м.,  3085 кг.</t>
  </si>
  <si>
    <t>843 шт.</t>
  </si>
  <si>
    <t>12994 шт</t>
  </si>
  <si>
    <t>прямые закупки: 1 235 437 руб.;                                          малые закупки: 376 480 руб</t>
  </si>
  <si>
    <t>274 шт</t>
  </si>
  <si>
    <t>малые закупки: 957 700 руб</t>
  </si>
  <si>
    <t>4806 шт</t>
  </si>
  <si>
    <t>прямые закупки.: 99 130 руб;                                     малые закупки.: 1 420 838 руб.</t>
  </si>
  <si>
    <t>1395 шт</t>
  </si>
  <si>
    <t xml:space="preserve">прямые закупки.: 106 731 руб.;       </t>
  </si>
  <si>
    <t>205 шт</t>
  </si>
  <si>
    <t>прямые закупки.: 11350 руб.;                                    малые закупки.:  477 000 руб.</t>
  </si>
  <si>
    <t>275 шт.</t>
  </si>
  <si>
    <t>котировка, малые закупки</t>
  </si>
  <si>
    <t>котировка, конкурс, прямые закупки,  малые закупки</t>
  </si>
  <si>
    <t>24632 шт., 19991 м.</t>
  </si>
  <si>
    <t>прямые закупки</t>
  </si>
  <si>
    <t>апрель</t>
  </si>
  <si>
    <t>67/17-мтс от 05.04.2017г.</t>
  </si>
  <si>
    <t>Поставка измерительного оборудования для подразделения УДиТГ АО «Сахатранснефтегаз» на 2017 год</t>
  </si>
  <si>
    <t>УДиТГ</t>
  </si>
  <si>
    <t>ООО "МОССклад"</t>
  </si>
  <si>
    <t>69/17-мтс от 07.04.17</t>
  </si>
  <si>
    <t>поставка консольно-фрезерного станка с выполнением ПНР и ШМР</t>
  </si>
  <si>
    <t>ИП Романов В.Б.</t>
  </si>
  <si>
    <t>71/17-мтс от 17.04.2017г.</t>
  </si>
  <si>
    <t>Поставка речного песка для нужд подразделения УГРС АО «Сахатранснефтегаз».</t>
  </si>
  <si>
    <t>72/17-мтс от 17.04.2017г.</t>
  </si>
  <si>
    <t>Поставка элементов трубопроводов для нужд подразделения УДиТГ АО «Сахатранснефтегаз».</t>
  </si>
  <si>
    <t>ООО "Восток-Сервис-Амур"</t>
  </si>
  <si>
    <t>75/17-мтс от 18.04.2017г.</t>
  </si>
  <si>
    <t>Поставка СИЗ для нужд АО "Сахатранснефтегаз"</t>
  </si>
  <si>
    <t>УАП, УГРС,УДиТГ, УТС, ГПЗ, ЛПУМГ</t>
  </si>
  <si>
    <t>май</t>
  </si>
  <si>
    <t>75/17-мтс-д-1 от 29.05.2017</t>
  </si>
  <si>
    <t>74/17-мтс от 18.04.2017г.</t>
  </si>
  <si>
    <t>Поставка обуви для нужд АО "Сахатранснефтегаз"</t>
  </si>
  <si>
    <t>74/17-мтс-д-1 от 29.05.2017</t>
  </si>
  <si>
    <t>ООО ТД "Актив-Альянс"</t>
  </si>
  <si>
    <t>76/17-мтс от 19.04.2017г.</t>
  </si>
  <si>
    <t>Поставка контрольно-измерительных приборов и оборудования для нужд УДиТГ АО «Сахатранснефтегаз».</t>
  </si>
  <si>
    <t>ООО "Славянка-текстиль"</t>
  </si>
  <si>
    <t>77/17-мтс от 18.04.2017г.</t>
  </si>
  <si>
    <t>Поставка спецодежда для нужд АО "Сахатранснефтегаз"</t>
  </si>
  <si>
    <t xml:space="preserve">77/17-мтс-д-1 от </t>
  </si>
  <si>
    <t>июнь</t>
  </si>
  <si>
    <t>77/17-мтс-д-2 от  15.06.2017г.</t>
  </si>
  <si>
    <t>ООО "Сибтранссторой"</t>
  </si>
  <si>
    <t>79/17-мтс от 21.04.2017г.</t>
  </si>
  <si>
    <t>Поставка антенной опоры АО-50</t>
  </si>
  <si>
    <t>ООО "ТД "Ставропольхимстрой"</t>
  </si>
  <si>
    <t>80/17-мтс от 25.04.2017</t>
  </si>
  <si>
    <t>поставка вездехода ТРЭКОЛ</t>
  </si>
  <si>
    <t xml:space="preserve">Общество с ограниченной ответственностью «Эйва» </t>
  </si>
  <si>
    <t>81/17-мтс от  28.04.2017</t>
  </si>
  <si>
    <t>поставка лодочного мотора с корпусом лодки и прицем для лодки</t>
  </si>
  <si>
    <t>ООО Авто-Альянс</t>
  </si>
  <si>
    <t>82/17-мтс от 10.05.2017</t>
  </si>
  <si>
    <t>поставка запасных частей ТС УАЗ</t>
  </si>
  <si>
    <t>83/17-мтс от 11.05.2017г</t>
  </si>
  <si>
    <t>поставка смазочных материалов и технических жидкостей</t>
  </si>
  <si>
    <t>УГРС, ЛПУМГ</t>
  </si>
  <si>
    <t xml:space="preserve">Общество с ограниченной ответственностью «Арамильский Завод « СтройДорМаш» </t>
  </si>
  <si>
    <t>84/17-мтс от 17.05.2017</t>
  </si>
  <si>
    <t>поставка автокрана УРАЛ</t>
  </si>
  <si>
    <t>ООО Арамильский Завод СтройДорМаш</t>
  </si>
  <si>
    <t>85/17-мтс от 22.05.2017</t>
  </si>
  <si>
    <t>поставка Урал 4320-49-82М</t>
  </si>
  <si>
    <t>ООО "Энергия Дальнего Востока"</t>
  </si>
  <si>
    <t>87/17-мтс от 26.05.2017г</t>
  </si>
  <si>
    <t>УДиТГ, УТС</t>
  </si>
  <si>
    <t>ООО "Якутмоторсервис"</t>
  </si>
  <si>
    <t>89/17-мтс от 15.06.2017</t>
  </si>
  <si>
    <t>поставка ДЭС каминск</t>
  </si>
  <si>
    <t>Сервис-Ойл</t>
  </si>
  <si>
    <t>АЗС ЛПУМГ</t>
  </si>
  <si>
    <t>АЗС УГРС</t>
  </si>
  <si>
    <t>Саханефтегазсбыт</t>
  </si>
  <si>
    <t>АЗС УДиТГ</t>
  </si>
  <si>
    <t>г.Вилюйск</t>
  </si>
  <si>
    <t>налив ЛПУМГ</t>
  </si>
  <si>
    <t>10000 куб.м.</t>
  </si>
  <si>
    <t>4269 шт.</t>
  </si>
  <si>
    <t>11 пар</t>
  </si>
  <si>
    <t>3307 пар, 722 шт.</t>
  </si>
  <si>
    <t>6337 пар, 1429 шт.</t>
  </si>
  <si>
    <t>397 пар</t>
  </si>
  <si>
    <t>56 комп., 4363 шт.</t>
  </si>
  <si>
    <t>1 бочка, 246 шт.</t>
  </si>
  <si>
    <t>необходимых для оказания услуг по транспортировке газа по газораспределительным сетям АО "Сахатранснефтегаз" за апрель 2017г.</t>
  </si>
  <si>
    <t>необходимых для оказания услуг по транспортировке газа по газораспределительным сетям АО "Сахатранснефтегаз" за май 2017г.</t>
  </si>
  <si>
    <t>необходимых для оказания услуг по транспортировке газа по газораспределительным сетям АО "Сахатранснефтегаз" за июнь 2017г.</t>
  </si>
  <si>
    <t>необходимых для оказания услуг по транспортировке газа по газораспределительным сетям АО "Сахатранснефтегаз" за 2 квартал 2017г.</t>
  </si>
  <si>
    <t>котировка, прямая закупка, малая закупка</t>
  </si>
  <si>
    <t>-</t>
  </si>
  <si>
    <t>1515 шт.
843 шт.
12994 шт.</t>
  </si>
  <si>
    <t>277 шт.</t>
  </si>
  <si>
    <t>4368 шт.; 7780 кг.
5399 шт., 6710 м.,  3085 кг.
24632 шт., 19991 м.</t>
  </si>
  <si>
    <t>4340 м., 7983 шт.
124 шт.
1395 шт.</t>
  </si>
  <si>
    <t>2141 шт.
205 шт.</t>
  </si>
  <si>
    <t>л.</t>
  </si>
  <si>
    <t>183675 л.</t>
  </si>
  <si>
    <t>Прямые закупки</t>
  </si>
  <si>
    <t>100 шт.</t>
  </si>
  <si>
    <t>котировка, прямые закупки, малые закупки</t>
  </si>
  <si>
    <t>10000 куб.м., 1039 шт.</t>
  </si>
  <si>
    <t>3307 пар, 722 шт.
6337 пар, 1429 шт., 284 шт.</t>
  </si>
  <si>
    <t>конкурс, прямые закупки, малые закупки</t>
  </si>
  <si>
    <t>56 комп., 4363 шт., 1884 шт.</t>
  </si>
  <si>
    <t>конкурс, прямые закупки</t>
  </si>
  <si>
    <t>622 шт.</t>
  </si>
  <si>
    <t xml:space="preserve"> прямые закупки, малые закупки</t>
  </si>
  <si>
    <t>2528 шт.</t>
  </si>
  <si>
    <t>2529 шт.</t>
  </si>
  <si>
    <t>408 пар, 116 шт.</t>
  </si>
  <si>
    <t>108 шт.</t>
  </si>
  <si>
    <t>4269 шт., 25 шт.</t>
  </si>
  <si>
    <t>830 шт.</t>
  </si>
  <si>
    <t>10000 куб.м., 1039 шт., 2528 шт., 3 373 шт</t>
  </si>
  <si>
    <t>3825 шт.</t>
  </si>
  <si>
    <t>6845 шт., 10052 пар</t>
  </si>
  <si>
    <t>8787 шт, 56 комп.</t>
  </si>
  <si>
    <t>необходимых для оказания услуг по транспортировке газа по газораспределительным сетям АО "Сахатранснефтегаз" за июль 2017г.</t>
  </si>
  <si>
    <t>необходимых для оказания услуг по транспортировке газа по газораспределительным сетям АО "Сахатранснефтегаз" за август 2017г.</t>
  </si>
  <si>
    <t>необходимых для оказания услуг по транспортировке газа по газораспределительным сетям АО "Сахатранснефтегаз" за сентябрь 2017г.</t>
  </si>
  <si>
    <t>необходимых для оказания услуг по транспортировке газа по газораспределительным сетям АО "Сахатранснефтегаз" за 3 квартал 2017г.</t>
  </si>
  <si>
    <t>август</t>
  </si>
  <si>
    <t>93/17-мтс-д-1 от 15.08.2017г</t>
  </si>
  <si>
    <t>июль</t>
  </si>
  <si>
    <t>99/17-мтс-д-1 от 19.06.2017г.</t>
  </si>
  <si>
    <t>ООО "Сельгазстрой"</t>
  </si>
  <si>
    <t>105/17-мтс от 13.07.2017г.</t>
  </si>
  <si>
    <t>Поставка пункта газорегуляторного блочного (ПГБ) для выполнения строительно-монтажных работ по объекту строительства: "Сеть газораспределения к "Академическому кварталу" в с.Октемцы Хангаласского улуса Республики Саха (Якутия)"</t>
  </si>
  <si>
    <t>108/17-мтс от 18.07.2017г.</t>
  </si>
  <si>
    <t>Поставка типового инвентарного здания для нужд подразделения УГРС АО «Сахатранснефтегаз».</t>
  </si>
  <si>
    <t>ООО "СтанкоМашСтрой"</t>
  </si>
  <si>
    <t>111/17-мтс от 20.07.2017г.</t>
  </si>
  <si>
    <t>Поставка токарного станка для нужд подразделения УДиТГ АО "Сахатранснефтегаз"</t>
  </si>
  <si>
    <t>ООО "Модуль Строй"</t>
  </si>
  <si>
    <t>114/17-мтс от 31.07.17 г.</t>
  </si>
  <si>
    <t>Модуль столовая для УДТГ</t>
  </si>
  <si>
    <t>117/17-мтс от 04.08.2017г.</t>
  </si>
  <si>
    <t xml:space="preserve">Поставка вспомогательных материалов для нужд УДиТГ </t>
  </si>
  <si>
    <t>ООО "Техноавиа-Саха"</t>
  </si>
  <si>
    <t>118/17-мтс от 04.08.2017 г</t>
  </si>
  <si>
    <t>Поставка зимней спецодежды для работников АО "Сахатранснефтегаз"</t>
  </si>
  <si>
    <t>121/17-мтс от 09.08.2017</t>
  </si>
  <si>
    <t>Поставка оборудования для пополнения аварийного запаса подразделения УДиТГ АО «Сахатранснефтегаз».</t>
  </si>
  <si>
    <t>ООО "Техсервис-Якутия"</t>
  </si>
  <si>
    <t>126/17-мтс</t>
  </si>
  <si>
    <t>Поставка экскаватора CASE</t>
  </si>
  <si>
    <t>ООО "НПО САРОВ-ВОЛГОГАЗ"</t>
  </si>
  <si>
    <t>133/17-мтс от 30.08.2017г.</t>
  </si>
  <si>
    <t>Поставка блока автоматической одоризации газа БОЭ для нужд подразделения ЛПУМГ АО "Сахатраснефтегаз"</t>
  </si>
  <si>
    <t>сентябрь</t>
  </si>
  <si>
    <t>ООО "Арника"</t>
  </si>
  <si>
    <t>137/17-мтс от 20.09.2017</t>
  </si>
  <si>
    <t>Поставка огнеборцев</t>
  </si>
  <si>
    <t>138/17-мтс от 22.09.2017</t>
  </si>
  <si>
    <t>Поставка нефтепродуктов наливом для нужд ЛПУМГ и ЯГПЗ</t>
  </si>
  <si>
    <t>140/17-мтс от 22.09.2017</t>
  </si>
  <si>
    <t>Поставка нефтепродуктов через ПК для нужд ЛПУМГ</t>
  </si>
  <si>
    <t>141/17-мтс от 22.09.2017</t>
  </si>
  <si>
    <t>Поставка нефтепродуктов через ПК для нужд УГРС</t>
  </si>
  <si>
    <t>142/17-мтс от 22.09.2017</t>
  </si>
  <si>
    <t>Поставка нефтепродуктов через ПК для нужд УДТГ</t>
  </si>
  <si>
    <t>143/17-мтс от 22.09.2017</t>
  </si>
  <si>
    <t>144/17-мтс от 22.09.2017</t>
  </si>
  <si>
    <t>145/17-мтс от 22.09.2017</t>
  </si>
  <si>
    <t>Поставка нефтепродуктов наливом для нужд УДТГ и УТС</t>
  </si>
  <si>
    <t>тн.</t>
  </si>
  <si>
    <t>23958 л.</t>
  </si>
  <si>
    <t>26162 л., 1,350 тн.</t>
  </si>
  <si>
    <t>2145 шт., 486 к-т</t>
  </si>
  <si>
    <t>13  шт.; 34 л.; 1 бут.; 12 кг.</t>
  </si>
  <si>
    <t>4093 шт.; 11 м.; 50,4 м3.; 4 компл.; 40 кг.</t>
  </si>
  <si>
    <t>2515 шт.; 620 м.; 9- уп.</t>
  </si>
  <si>
    <t xml:space="preserve">62289 шт.; 631 банка; 90,47 м3; </t>
  </si>
  <si>
    <t>464 шт.; 22 компл.</t>
  </si>
  <si>
    <t>30 шт, 20 л.; 1 бут.</t>
  </si>
  <si>
    <t>127 шт.</t>
  </si>
  <si>
    <t>прямые закупки, малые закупки</t>
  </si>
  <si>
    <t>1313 шт.; 16 компл.</t>
  </si>
  <si>
    <t>55 шт.; 792 м.</t>
  </si>
  <si>
    <t>690 шт., 3352 шт.; 980,436 м2; 4001,32 м3, 4 рул., 397 кг.; 1 компл.</t>
  </si>
  <si>
    <t>901 шт.; 11 компл.;  1 набор.</t>
  </si>
  <si>
    <t>38 шт.; 4 кг.</t>
  </si>
  <si>
    <t>1 компл.; 250 м.; 1116 шт.</t>
  </si>
  <si>
    <t>500 м.; 200 шт.</t>
  </si>
  <si>
    <t xml:space="preserve">2122 кг.; 4 рулон; 1 упаковка; 33,75 м.; 647 шт.  </t>
  </si>
  <si>
    <t>2145 шт., 486 к-т, 464 шт.; 22 компл., 901 шт.; 11 компл.;  1 набор.</t>
  </si>
  <si>
    <t>13  шт.; 34 л.; 1 бут.; 12 кг., 30 шт, 20 л.; 1 бут., 38 шт.; 4 кг.</t>
  </si>
  <si>
    <t>145 шт.</t>
  </si>
  <si>
    <t>4093 шт.; 11 м.; 50,4 м3.; 4 компл.; 40 кг., 1313 шт.; 16 компл., 1 компл.; 250 м.; 1116 шт.</t>
  </si>
  <si>
    <t>2515 шт.; 620 м.; 9- уп., 55 шт.; 792 м., 500 м.; 200 шт.</t>
  </si>
  <si>
    <t>23958 л., 26162 л., 1,350 тн.</t>
  </si>
  <si>
    <t xml:space="preserve">62289 шт.; 631 банка; 90,47 м3; 690 шт., 3352 шт.; 980,436 м2; 4001,32 м3, 4 рул., 397 кг.; 1 компл., 2122 кг.; 4 рулон; 1 упаковка; 33,75 м.; 647 шт.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</si>
</sst>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_р_._-;\-* #,##0_р_._-;_-* &quot;-&quot;??_р_._-;_-@_-"/>
    <numFmt numFmtId="174" formatCode="[$-FC19]d\ mmmm\ yyyy\ &quot;г.&quot;"/>
    <numFmt numFmtId="175" formatCode="_-* #,##0.0_р_._-;\-* #,##0.0_р_._-;_-* &quot;-&quot;??_р_._-;_-@_-"/>
    <numFmt numFmtId="176" formatCode="_-* #,##0.0\ _₽_-;\-* #,##0.0\ _₽_-;_-* &quot;-&quot;??\ _₽_-;_-@_-"/>
    <numFmt numFmtId="177" formatCode="_-* #,##0\ _₽_-;\-* #,##0\ _₽_-;_-* &quot;-&quot;??\ _₽_-;_-@_-"/>
  </numFmts>
  <fonts count="47">
    <font>
      <sz val="10"/>
      <name val="Arial Cyr"/>
      <family val="0"/>
    </font>
    <font>
      <sz val="10"/>
      <name val="Times New Roman"/>
      <family val="1"/>
    </font>
    <font>
      <sz val="12"/>
      <name val="Times New Roman"/>
      <family val="1"/>
    </font>
    <font>
      <b/>
      <sz val="12"/>
      <name val="Times New Roman"/>
      <family val="1"/>
    </font>
    <font>
      <b/>
      <sz val="10"/>
      <name val="Times New Roman"/>
      <family val="1"/>
    </font>
    <font>
      <sz val="8"/>
      <name val="Times New Roman"/>
      <family val="1"/>
    </font>
    <font>
      <b/>
      <sz val="8"/>
      <name val="Times New Roman"/>
      <family val="1"/>
    </font>
    <font>
      <b/>
      <sz val="9"/>
      <name val="Tahoma"/>
      <family val="2"/>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C00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style="thin"/>
      <bottom/>
    </border>
    <border>
      <left>
        <color indexed="63"/>
      </left>
      <right style="thin"/>
      <top style="thin"/>
      <bottom style="thin"/>
    </border>
    <border>
      <left style="thin"/>
      <right style="thin"/>
      <top/>
      <bottom/>
    </border>
    <border>
      <left>
        <color indexed="63"/>
      </left>
      <right style="thin"/>
      <top style="thin"/>
      <bottom/>
    </border>
    <border>
      <left>
        <color indexed="63"/>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32">
    <xf numFmtId="0" fontId="0" fillId="0" borderId="0" xfId="0" applyAlignment="1">
      <alignment/>
    </xf>
    <xf numFmtId="0" fontId="1" fillId="0" borderId="10" xfId="0" applyFont="1" applyBorder="1" applyAlignment="1">
      <alignment wrapText="1"/>
    </xf>
    <xf numFmtId="0" fontId="1" fillId="0" borderId="0" xfId="0" applyFont="1" applyFill="1" applyAlignment="1">
      <alignment wrapText="1"/>
    </xf>
    <xf numFmtId="172" fontId="1" fillId="0" borderId="10" xfId="0" applyNumberFormat="1" applyFont="1" applyFill="1" applyBorder="1" applyAlignment="1">
      <alignment horizontal="left" vertical="distributed"/>
    </xf>
    <xf numFmtId="0" fontId="1" fillId="0" borderId="0" xfId="0" applyFont="1" applyFill="1" applyAlignment="1">
      <alignment horizontal="center"/>
    </xf>
    <xf numFmtId="0" fontId="1" fillId="0" borderId="0" xfId="0" applyFont="1" applyFill="1" applyAlignment="1">
      <alignment/>
    </xf>
    <xf numFmtId="171" fontId="1" fillId="0" borderId="0" xfId="0" applyNumberFormat="1" applyFont="1" applyFill="1" applyAlignment="1">
      <alignment/>
    </xf>
    <xf numFmtId="0" fontId="2" fillId="0" borderId="0" xfId="0" applyFont="1" applyFill="1" applyAlignment="1">
      <alignment/>
    </xf>
    <xf numFmtId="0" fontId="1" fillId="0" borderId="10" xfId="0" applyFont="1" applyFill="1" applyBorder="1" applyAlignment="1">
      <alignment horizontal="center" vertical="top" wrapText="1"/>
    </xf>
    <xf numFmtId="171" fontId="1" fillId="0" borderId="10" xfId="0" applyNumberFormat="1" applyFont="1" applyFill="1" applyBorder="1" applyAlignment="1">
      <alignment horizontal="center" vertical="top" wrapText="1"/>
    </xf>
    <xf numFmtId="0" fontId="1" fillId="0" borderId="0" xfId="0" applyFont="1" applyFill="1" applyAlignment="1">
      <alignment horizontal="center" vertical="top" wrapText="1"/>
    </xf>
    <xf numFmtId="0" fontId="1" fillId="0" borderId="10" xfId="0" applyFont="1" applyFill="1" applyBorder="1" applyAlignment="1">
      <alignment horizontal="center" vertical="top"/>
    </xf>
    <xf numFmtId="0" fontId="1" fillId="0" borderId="0" xfId="0" applyFont="1" applyFill="1" applyAlignment="1">
      <alignment horizontal="center" vertical="top"/>
    </xf>
    <xf numFmtId="49" fontId="1" fillId="0" borderId="10" xfId="0" applyNumberFormat="1" applyFont="1" applyFill="1" applyBorder="1" applyAlignment="1">
      <alignment horizontal="center"/>
    </xf>
    <xf numFmtId="0" fontId="1" fillId="0" borderId="10" xfId="0" applyFont="1" applyFill="1" applyBorder="1" applyAlignment="1">
      <alignment horizontal="left" wrapText="1"/>
    </xf>
    <xf numFmtId="0" fontId="1" fillId="0" borderId="10" xfId="0" applyFont="1" applyFill="1" applyBorder="1" applyAlignment="1">
      <alignment horizontal="center"/>
    </xf>
    <xf numFmtId="171" fontId="1" fillId="0" borderId="10" xfId="0" applyNumberFormat="1" applyFont="1" applyFill="1" applyBorder="1" applyAlignment="1">
      <alignment horizontal="center"/>
    </xf>
    <xf numFmtId="0" fontId="1" fillId="0" borderId="10" xfId="0" applyFont="1" applyFill="1" applyBorder="1" applyAlignment="1">
      <alignment horizontal="center" wrapText="1"/>
    </xf>
    <xf numFmtId="0" fontId="1" fillId="0" borderId="10" xfId="0" applyFont="1" applyFill="1" applyBorder="1" applyAlignment="1">
      <alignment/>
    </xf>
    <xf numFmtId="0" fontId="1" fillId="0" borderId="10" xfId="0" applyFont="1" applyFill="1" applyBorder="1" applyAlignment="1">
      <alignment wrapText="1"/>
    </xf>
    <xf numFmtId="0" fontId="1" fillId="0" borderId="0" xfId="0" applyFont="1" applyFill="1" applyAlignment="1">
      <alignment horizontal="right" wrapText="1"/>
    </xf>
    <xf numFmtId="173" fontId="1" fillId="0" borderId="10" xfId="0" applyNumberFormat="1" applyFont="1" applyFill="1" applyBorder="1" applyAlignment="1">
      <alignment horizontal="center" vertical="center"/>
    </xf>
    <xf numFmtId="171" fontId="1" fillId="0" borderId="10" xfId="0" applyNumberFormat="1" applyFont="1" applyFill="1" applyBorder="1" applyAlignment="1">
      <alignment horizontal="center" vertical="center" wrapText="1"/>
    </xf>
    <xf numFmtId="171" fontId="4" fillId="0" borderId="0" xfId="0" applyNumberFormat="1" applyFont="1" applyFill="1" applyAlignment="1">
      <alignment/>
    </xf>
    <xf numFmtId="0" fontId="1" fillId="0" borderId="10" xfId="0" applyFont="1" applyFill="1" applyBorder="1" applyAlignment="1">
      <alignment horizontal="center" vertical="center" wrapText="1"/>
    </xf>
    <xf numFmtId="0" fontId="0" fillId="0" borderId="0" xfId="0" applyAlignment="1">
      <alignment horizontal="center" vertical="center"/>
    </xf>
    <xf numFmtId="171" fontId="0" fillId="0" borderId="0" xfId="0" applyNumberFormat="1" applyAlignment="1">
      <alignment/>
    </xf>
    <xf numFmtId="49" fontId="1" fillId="0" borderId="11" xfId="0" applyNumberFormat="1" applyFont="1" applyFill="1" applyBorder="1" applyAlignment="1">
      <alignment horizontal="center"/>
    </xf>
    <xf numFmtId="0" fontId="1" fillId="0" borderId="11" xfId="0" applyFont="1" applyFill="1" applyBorder="1" applyAlignment="1">
      <alignment/>
    </xf>
    <xf numFmtId="0" fontId="1" fillId="0" borderId="11" xfId="0" applyFont="1" applyFill="1" applyBorder="1" applyAlignment="1">
      <alignment horizontal="center"/>
    </xf>
    <xf numFmtId="173" fontId="1" fillId="0" borderId="10" xfId="0" applyNumberFormat="1" applyFont="1" applyFill="1" applyBorder="1" applyAlignment="1">
      <alignment horizontal="center" vertical="center" wrapText="1"/>
    </xf>
    <xf numFmtId="0" fontId="1" fillId="0" borderId="0" xfId="0" applyFont="1" applyFill="1" applyAlignment="1">
      <alignment horizontal="center" wrapText="1"/>
    </xf>
    <xf numFmtId="0" fontId="45" fillId="0" borderId="10" xfId="0" applyFont="1" applyFill="1" applyBorder="1" applyAlignment="1">
      <alignment horizontal="center"/>
    </xf>
    <xf numFmtId="0" fontId="0" fillId="0" borderId="0" xfId="0" applyAlignment="1">
      <alignment wrapText="1"/>
    </xf>
    <xf numFmtId="43" fontId="0" fillId="0" borderId="0" xfId="0" applyNumberFormat="1" applyAlignment="1">
      <alignment/>
    </xf>
    <xf numFmtId="0" fontId="0" fillId="0" borderId="0" xfId="0" applyFont="1" applyAlignment="1">
      <alignment/>
    </xf>
    <xf numFmtId="0" fontId="5" fillId="0" borderId="0" xfId="0" applyFont="1" applyFill="1" applyBorder="1" applyAlignment="1">
      <alignment/>
    </xf>
    <xf numFmtId="0" fontId="5" fillId="0" borderId="0" xfId="0" applyFont="1" applyFill="1" applyBorder="1" applyAlignment="1">
      <alignment wrapText="1"/>
    </xf>
    <xf numFmtId="43" fontId="5" fillId="0" borderId="0" xfId="0"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horizontal="center" vertical="top" wrapText="1"/>
    </xf>
    <xf numFmtId="0" fontId="5" fillId="0" borderId="0" xfId="0" applyFont="1" applyFill="1" applyAlignment="1">
      <alignment horizontal="center" vertical="top" wrapText="1"/>
    </xf>
    <xf numFmtId="43"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top"/>
    </xf>
    <xf numFmtId="43" fontId="5" fillId="0" borderId="0" xfId="0" applyNumberFormat="1" applyFont="1" applyFill="1" applyBorder="1" applyAlignment="1">
      <alignment horizontal="center" vertical="top"/>
    </xf>
    <xf numFmtId="0" fontId="5" fillId="0" borderId="0" xfId="0" applyFont="1" applyFill="1" applyAlignment="1">
      <alignment horizontal="center" vertical="top"/>
    </xf>
    <xf numFmtId="0" fontId="5" fillId="0" borderId="10" xfId="0" applyFont="1" applyFill="1" applyBorder="1" applyAlignment="1">
      <alignment horizontal="center" vertical="center" wrapText="1"/>
    </xf>
    <xf numFmtId="171" fontId="5" fillId="0" borderId="11" xfId="42" applyNumberFormat="1" applyFont="1" applyFill="1" applyBorder="1" applyAlignment="1">
      <alignment vertical="center" wrapText="1"/>
    </xf>
    <xf numFmtId="171" fontId="5" fillId="0" borderId="10" xfId="42" applyNumberFormat="1" applyFont="1" applyFill="1" applyBorder="1" applyAlignment="1">
      <alignment horizontal="center" vertical="center" wrapText="1"/>
    </xf>
    <xf numFmtId="43" fontId="1" fillId="0" borderId="0" xfId="0" applyNumberFormat="1" applyFont="1" applyFill="1" applyAlignment="1">
      <alignment/>
    </xf>
    <xf numFmtId="171" fontId="5" fillId="0" borderId="12" xfId="42" applyNumberFormat="1" applyFont="1" applyFill="1" applyBorder="1" applyAlignment="1">
      <alignment vertical="center" wrapText="1"/>
    </xf>
    <xf numFmtId="171" fontId="5" fillId="0" borderId="10" xfId="42" applyNumberFormat="1" applyFont="1" applyFill="1" applyBorder="1" applyAlignment="1">
      <alignment vertical="center" wrapText="1"/>
    </xf>
    <xf numFmtId="171"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4" fontId="5" fillId="0" borderId="10" xfId="0" applyNumberFormat="1" applyFont="1" applyFill="1" applyBorder="1" applyAlignment="1">
      <alignment vertical="center" wrapText="1"/>
    </xf>
    <xf numFmtId="171" fontId="5" fillId="0" borderId="10" xfId="0" applyNumberFormat="1" applyFont="1" applyFill="1" applyBorder="1" applyAlignment="1">
      <alignment vertical="center" wrapText="1"/>
    </xf>
    <xf numFmtId="0" fontId="5" fillId="0" borderId="11" xfId="0" applyFont="1" applyFill="1" applyBorder="1" applyAlignment="1">
      <alignment vertical="center" wrapText="1"/>
    </xf>
    <xf numFmtId="171" fontId="1" fillId="0" borderId="0" xfId="0" applyNumberFormat="1" applyFont="1" applyFill="1" applyBorder="1" applyAlignment="1">
      <alignment/>
    </xf>
    <xf numFmtId="0" fontId="1" fillId="0" borderId="13" xfId="0" applyFont="1" applyFill="1" applyBorder="1" applyAlignment="1">
      <alignment horizontal="center"/>
    </xf>
    <xf numFmtId="0" fontId="1" fillId="0" borderId="13" xfId="0" applyFont="1" applyFill="1" applyBorder="1" applyAlignment="1">
      <alignment/>
    </xf>
    <xf numFmtId="0" fontId="1" fillId="0" borderId="14" xfId="0" applyFont="1" applyFill="1" applyBorder="1" applyAlignment="1">
      <alignment/>
    </xf>
    <xf numFmtId="0" fontId="1"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6" fillId="0" borderId="15" xfId="0" applyFont="1" applyFill="1" applyBorder="1" applyAlignment="1">
      <alignment horizontal="left" vertical="center" wrapText="1"/>
    </xf>
    <xf numFmtId="0" fontId="1"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1" fillId="0" borderId="0" xfId="0" applyFont="1" applyFill="1" applyBorder="1" applyAlignment="1">
      <alignment horizontal="center" wrapText="1"/>
    </xf>
    <xf numFmtId="41" fontId="1" fillId="0" borderId="0" xfId="0" applyNumberFormat="1" applyFont="1" applyAlignment="1">
      <alignment/>
    </xf>
    <xf numFmtId="0" fontId="1" fillId="0" borderId="0" xfId="0" applyFont="1" applyAlignment="1">
      <alignment/>
    </xf>
    <xf numFmtId="41" fontId="1"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43" fontId="1" fillId="0" borderId="0" xfId="0" applyNumberFormat="1" applyFont="1" applyAlignment="1">
      <alignment/>
    </xf>
    <xf numFmtId="0" fontId="1" fillId="0" borderId="0" xfId="0" applyFont="1" applyAlignment="1">
      <alignment wrapText="1"/>
    </xf>
    <xf numFmtId="41"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2" fontId="1" fillId="0" borderId="10" xfId="0" applyNumberFormat="1" applyFont="1" applyFill="1" applyBorder="1" applyAlignment="1">
      <alignment horizontal="center" vertical="center"/>
    </xf>
    <xf numFmtId="173" fontId="1" fillId="0" borderId="10" xfId="0" applyNumberFormat="1" applyFont="1" applyFill="1" applyBorder="1" applyAlignment="1">
      <alignment horizontal="left" vertical="center" wrapText="1"/>
    </xf>
    <xf numFmtId="41" fontId="1" fillId="0" borderId="10" xfId="0" applyNumberFormat="1" applyFont="1" applyBorder="1" applyAlignment="1">
      <alignment horizontal="center" vertical="center" wrapText="1"/>
    </xf>
    <xf numFmtId="173" fontId="1" fillId="0" borderId="0" xfId="0" applyNumberFormat="1" applyFont="1" applyAlignment="1">
      <alignment/>
    </xf>
    <xf numFmtId="173" fontId="4" fillId="0" borderId="0" xfId="0" applyNumberFormat="1" applyFont="1" applyFill="1" applyAlignment="1">
      <alignment/>
    </xf>
    <xf numFmtId="0" fontId="1" fillId="33" borderId="0" xfId="0" applyFont="1" applyFill="1" applyBorder="1" applyAlignment="1">
      <alignment horizontal="center"/>
    </xf>
    <xf numFmtId="0" fontId="6" fillId="33" borderId="15" xfId="0" applyFont="1" applyFill="1" applyBorder="1" applyAlignment="1">
      <alignment horizontal="left" vertical="center" wrapText="1"/>
    </xf>
    <xf numFmtId="0" fontId="5" fillId="33" borderId="10" xfId="0" applyFont="1" applyFill="1" applyBorder="1" applyAlignment="1">
      <alignment horizontal="center" vertical="center" wrapText="1"/>
    </xf>
    <xf numFmtId="171" fontId="6" fillId="33" borderId="10" xfId="42" applyNumberFormat="1" applyFont="1" applyFill="1" applyBorder="1" applyAlignment="1">
      <alignment vertical="center" wrapText="1"/>
    </xf>
    <xf numFmtId="171" fontId="5" fillId="33" borderId="10" xfId="42" applyNumberFormat="1" applyFont="1" applyFill="1" applyBorder="1" applyAlignment="1">
      <alignment horizontal="center" vertical="center" wrapText="1"/>
    </xf>
    <xf numFmtId="171" fontId="1" fillId="0" borderId="0" xfId="0" applyNumberFormat="1" applyFont="1" applyFill="1" applyAlignment="1">
      <alignment wrapText="1"/>
    </xf>
    <xf numFmtId="171" fontId="6" fillId="0" borderId="10" xfId="42" applyNumberFormat="1" applyFont="1" applyFill="1" applyBorder="1" applyAlignment="1">
      <alignment vertical="center" wrapText="1"/>
    </xf>
    <xf numFmtId="172" fontId="1" fillId="0" borderId="10" xfId="0" applyNumberFormat="1" applyFont="1" applyFill="1" applyBorder="1" applyAlignment="1">
      <alignment horizontal="left" vertical="distributed" wrapText="1"/>
    </xf>
    <xf numFmtId="43" fontId="1" fillId="0" borderId="10" xfId="0" applyNumberFormat="1" applyFont="1" applyFill="1" applyBorder="1" applyAlignment="1">
      <alignment horizontal="right"/>
    </xf>
    <xf numFmtId="0" fontId="5" fillId="0" borderId="0" xfId="0" applyFont="1" applyFill="1" applyAlignment="1">
      <alignment wrapText="1"/>
    </xf>
    <xf numFmtId="0" fontId="5" fillId="34" borderId="10" xfId="0" applyFont="1" applyFill="1" applyBorder="1" applyAlignment="1">
      <alignment horizontal="center" vertical="center" wrapText="1"/>
    </xf>
    <xf numFmtId="171" fontId="5" fillId="34" borderId="10" xfId="42" applyNumberFormat="1" applyFont="1" applyFill="1" applyBorder="1" applyAlignment="1">
      <alignment vertical="center" wrapText="1"/>
    </xf>
    <xf numFmtId="0" fontId="4" fillId="0" borderId="0" xfId="0" applyFont="1" applyFill="1" applyAlignment="1">
      <alignment wrapText="1"/>
    </xf>
    <xf numFmtId="0" fontId="4" fillId="0" borderId="0" xfId="0" applyFont="1" applyFill="1" applyAlignment="1">
      <alignment horizontal="center" wrapText="1"/>
    </xf>
    <xf numFmtId="0" fontId="4" fillId="0" borderId="0" xfId="0" applyFont="1" applyFill="1" applyAlignment="1">
      <alignment horizontal="center"/>
    </xf>
    <xf numFmtId="43" fontId="4" fillId="0" borderId="0" xfId="0" applyNumberFormat="1" applyFont="1" applyFill="1" applyAlignment="1">
      <alignment/>
    </xf>
    <xf numFmtId="0" fontId="4" fillId="0" borderId="0" xfId="0" applyFont="1" applyFill="1" applyBorder="1" applyAlignment="1">
      <alignment horizontal="center"/>
    </xf>
    <xf numFmtId="0" fontId="6" fillId="0" borderId="10" xfId="0" applyFont="1" applyFill="1" applyBorder="1" applyAlignment="1">
      <alignment horizontal="center" vertical="center" wrapText="1"/>
    </xf>
    <xf numFmtId="171" fontId="6" fillId="0" borderId="10" xfId="42" applyNumberFormat="1" applyFont="1" applyFill="1" applyBorder="1" applyAlignment="1">
      <alignment horizontal="center" vertical="center" wrapText="1"/>
    </xf>
    <xf numFmtId="171" fontId="6" fillId="0" borderId="0" xfId="0" applyNumberFormat="1" applyFont="1" applyFill="1" applyAlignment="1">
      <alignment/>
    </xf>
    <xf numFmtId="43" fontId="45" fillId="0" borderId="10" xfId="0" applyNumberFormat="1" applyFont="1" applyFill="1" applyBorder="1" applyAlignment="1">
      <alignment horizontal="right"/>
    </xf>
    <xf numFmtId="0" fontId="1" fillId="34" borderId="10" xfId="0" applyFont="1" applyFill="1" applyBorder="1" applyAlignment="1">
      <alignment horizontal="center"/>
    </xf>
    <xf numFmtId="43" fontId="1" fillId="0" borderId="10" xfId="0" applyNumberFormat="1" applyFont="1" applyFill="1" applyBorder="1" applyAlignment="1">
      <alignment horizontal="center" vertical="center" wrapText="1"/>
    </xf>
    <xf numFmtId="43" fontId="1" fillId="0" borderId="10" xfId="0" applyNumberFormat="1" applyFont="1" applyFill="1" applyBorder="1" applyAlignment="1">
      <alignment horizontal="center" vertical="center"/>
    </xf>
    <xf numFmtId="43" fontId="1" fillId="0" borderId="10" xfId="0" applyNumberFormat="1" applyFont="1" applyBorder="1" applyAlignment="1">
      <alignment horizontal="center" vertical="center"/>
    </xf>
    <xf numFmtId="43" fontId="1" fillId="0" borderId="10" xfId="0" applyNumberFormat="1" applyFont="1" applyBorder="1" applyAlignment="1">
      <alignment horizontal="center" vertical="center" wrapText="1"/>
    </xf>
    <xf numFmtId="43" fontId="1" fillId="0" borderId="0" xfId="0" applyNumberFormat="1" applyFont="1" applyFill="1" applyAlignment="1">
      <alignment horizontal="center"/>
    </xf>
    <xf numFmtId="43" fontId="1" fillId="0" borderId="0" xfId="0" applyNumberFormat="1" applyFont="1" applyFill="1" applyAlignment="1">
      <alignment wrapText="1"/>
    </xf>
    <xf numFmtId="43" fontId="1" fillId="0" borderId="10" xfId="0" applyNumberFormat="1" applyFont="1" applyFill="1" applyBorder="1" applyAlignment="1">
      <alignment horizontal="left" vertical="center" wrapText="1"/>
    </xf>
    <xf numFmtId="43" fontId="1" fillId="0" borderId="10" xfId="0" applyNumberFormat="1" applyFont="1" applyBorder="1" applyAlignment="1">
      <alignment horizontal="left" vertical="center" wrapText="1"/>
    </xf>
    <xf numFmtId="43" fontId="1" fillId="0" borderId="0" xfId="0" applyNumberFormat="1" applyFont="1" applyFill="1" applyAlignment="1">
      <alignment horizontal="right" wrapText="1"/>
    </xf>
    <xf numFmtId="43" fontId="0" fillId="0" borderId="0" xfId="0" applyNumberFormat="1" applyAlignment="1">
      <alignment wrapText="1"/>
    </xf>
    <xf numFmtId="43" fontId="5" fillId="0" borderId="0" xfId="0" applyNumberFormat="1" applyFont="1" applyFill="1" applyBorder="1" applyAlignment="1">
      <alignment wrapText="1"/>
    </xf>
    <xf numFmtId="43" fontId="6" fillId="0" borderId="0" xfId="0" applyNumberFormat="1" applyFont="1" applyFill="1" applyBorder="1" applyAlignment="1">
      <alignment/>
    </xf>
    <xf numFmtId="41" fontId="1" fillId="0" borderId="0" xfId="0" applyNumberFormat="1" applyFont="1" applyAlignment="1">
      <alignment horizontal="center" vertical="center" wrapText="1"/>
    </xf>
    <xf numFmtId="171" fontId="4" fillId="0" borderId="0" xfId="0" applyNumberFormat="1" applyFont="1" applyFill="1" applyAlignment="1">
      <alignment wrapText="1"/>
    </xf>
    <xf numFmtId="171" fontId="0" fillId="0" borderId="0" xfId="0" applyNumberFormat="1" applyAlignment="1">
      <alignment wrapText="1"/>
    </xf>
    <xf numFmtId="0" fontId="3" fillId="0" borderId="0" xfId="0" applyFont="1" applyFill="1" applyAlignment="1">
      <alignment horizontal="center"/>
    </xf>
    <xf numFmtId="0" fontId="1" fillId="0" borderId="11"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1" fillId="0" borderId="1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171" fontId="5" fillId="0" borderId="11" xfId="42" applyNumberFormat="1" applyFont="1" applyFill="1" applyBorder="1" applyAlignment="1">
      <alignment horizontal="center" vertical="center" wrapText="1"/>
    </xf>
    <xf numFmtId="171" fontId="5" fillId="0" borderId="12" xfId="42" applyNumberFormat="1" applyFont="1" applyFill="1" applyBorder="1" applyAlignment="1">
      <alignment horizontal="center" vertical="center" wrapText="1"/>
    </xf>
    <xf numFmtId="0" fontId="3" fillId="0" borderId="0" xfId="0" applyFont="1" applyFill="1" applyAlignment="1">
      <alignment horizontal="left"/>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6;&#1090;%20&#1087;&#1086;&#1076;&#1088;&#1072;&#1079;&#1076;\II%20&#1082;&#1074;&#1072;&#1088;&#1090;&#1072;&#1083;\&#1055;&#1088;&#1080;&#1083;&#1086;&#1078;&#1077;&#1085;&#1080;&#1077;%20220-&#1055;_&#1059;&#1043;&#1056;&#105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43;_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январь"/>
      <sheetName val="февраль"/>
      <sheetName val="март"/>
      <sheetName val="1 квартал"/>
      <sheetName val="апрель"/>
      <sheetName val="май"/>
      <sheetName val="июнь"/>
      <sheetName val="2 квартал"/>
      <sheetName val="июль"/>
      <sheetName val="август"/>
      <sheetName val="сентябрь"/>
      <sheetName val="3 квартал"/>
      <sheetName val="октябрь"/>
      <sheetName val="ноябрь"/>
      <sheetName val="декабрь"/>
      <sheetName val="4 квартал"/>
      <sheetName val="за 2017г."/>
    </sheetNames>
    <sheetDataSet>
      <sheetData sheetId="4">
        <row r="12">
          <cell r="F12" t="str">
            <v>1 553 шт</v>
          </cell>
        </row>
        <row r="16">
          <cell r="F16" t="str">
            <v>1 214 шт</v>
          </cell>
        </row>
      </sheetData>
      <sheetData sheetId="6">
        <row r="12">
          <cell r="F12" t="str">
            <v>987 шт</v>
          </cell>
        </row>
        <row r="15">
          <cell r="F15" t="str">
            <v>3 373 шт</v>
          </cell>
        </row>
        <row r="16">
          <cell r="F16" t="str">
            <v>82 шт</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январь"/>
      <sheetName val="февраль"/>
      <sheetName val="март"/>
      <sheetName val="1 квартал"/>
      <sheetName val="апрель"/>
      <sheetName val="май"/>
      <sheetName val="июнь"/>
      <sheetName val="2 квартал"/>
      <sheetName val="июль"/>
      <sheetName val="август"/>
      <sheetName val="сентябрь"/>
      <sheetName val="3 квартал"/>
      <sheetName val="октябрь"/>
      <sheetName val="ноябрь"/>
      <sheetName val="декабрь"/>
      <sheetName val="4 квартал"/>
      <sheetName val="за 2016г."/>
      <sheetName val="2017"/>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7"/>
  <sheetViews>
    <sheetView zoomScale="70" zoomScaleNormal="70" zoomScalePageLayoutView="0" workbookViewId="0" topLeftCell="A11">
      <selection activeCell="I19" sqref="I19"/>
    </sheetView>
  </sheetViews>
  <sheetFormatPr defaultColWidth="9.00390625" defaultRowHeight="12.75" outlineLevelCol="1"/>
  <cols>
    <col min="1" max="1" width="8.25390625" style="69" customWidth="1"/>
    <col min="2" max="2" width="77.25390625" style="69" customWidth="1"/>
    <col min="3" max="3" width="23.00390625" style="69" customWidth="1"/>
    <col min="4" max="4" width="27.25390625" style="69" customWidth="1"/>
    <col min="5" max="5" width="31.00390625" style="72" customWidth="1"/>
    <col min="6" max="6" width="20.25390625" style="74" customWidth="1"/>
    <col min="7" max="7" width="20.25390625" style="69" customWidth="1"/>
    <col min="8" max="8" width="20.25390625" style="74" customWidth="1"/>
    <col min="9" max="10" width="17.75390625" style="68" hidden="1" customWidth="1" outlineLevel="1"/>
    <col min="11" max="11" width="9.125" style="69" hidden="1" customWidth="1" outlineLevel="1"/>
    <col min="12" max="12" width="9.125" style="69" customWidth="1" collapsed="1"/>
    <col min="13" max="16384" width="9.125" style="69" customWidth="1"/>
  </cols>
  <sheetData>
    <row r="1" spans="1:8" ht="12.75">
      <c r="A1" s="4"/>
      <c r="B1" s="5"/>
      <c r="C1" s="5"/>
      <c r="D1" s="5"/>
      <c r="E1" s="31"/>
      <c r="F1" s="31"/>
      <c r="G1" s="6"/>
      <c r="H1" s="20" t="s">
        <v>3</v>
      </c>
    </row>
    <row r="2" spans="1:8" ht="12.75">
      <c r="A2" s="4"/>
      <c r="B2" s="5"/>
      <c r="C2" s="5"/>
      <c r="D2" s="5"/>
      <c r="E2" s="31"/>
      <c r="F2" s="31"/>
      <c r="G2" s="6"/>
      <c r="H2" s="20" t="s">
        <v>1</v>
      </c>
    </row>
    <row r="3" spans="1:8" ht="12.75">
      <c r="A3" s="4"/>
      <c r="B3" s="5"/>
      <c r="C3" s="5"/>
      <c r="D3" s="5"/>
      <c r="E3" s="31"/>
      <c r="F3" s="31"/>
      <c r="G3" s="6"/>
      <c r="H3" s="20" t="s">
        <v>2</v>
      </c>
    </row>
    <row r="4" spans="1:8" ht="12.75">
      <c r="A4" s="4"/>
      <c r="B4" s="5"/>
      <c r="C4" s="5"/>
      <c r="D4" s="5"/>
      <c r="E4" s="31"/>
      <c r="F4" s="31"/>
      <c r="G4" s="6"/>
      <c r="H4" s="2"/>
    </row>
    <row r="5" spans="1:8" ht="12.75">
      <c r="A5" s="4"/>
      <c r="B5" s="5"/>
      <c r="C5" s="5"/>
      <c r="D5" s="5"/>
      <c r="E5" s="31"/>
      <c r="F5" s="31"/>
      <c r="G5" s="6"/>
      <c r="H5" s="2"/>
    </row>
    <row r="6" spans="1:8" ht="15.75">
      <c r="A6" s="119" t="s">
        <v>4</v>
      </c>
      <c r="B6" s="119"/>
      <c r="C6" s="119"/>
      <c r="D6" s="119"/>
      <c r="E6" s="119"/>
      <c r="F6" s="119"/>
      <c r="G6" s="119"/>
      <c r="H6" s="119"/>
    </row>
    <row r="7" spans="1:8" ht="15.75">
      <c r="A7" s="119" t="s">
        <v>188</v>
      </c>
      <c r="B7" s="119"/>
      <c r="C7" s="119"/>
      <c r="D7" s="119"/>
      <c r="E7" s="119"/>
      <c r="F7" s="119"/>
      <c r="G7" s="119"/>
      <c r="H7" s="119"/>
    </row>
    <row r="8" spans="1:8" ht="15.75">
      <c r="A8" s="119"/>
      <c r="B8" s="119"/>
      <c r="C8" s="119"/>
      <c r="D8" s="119"/>
      <c r="E8" s="119"/>
      <c r="F8" s="119"/>
      <c r="G8" s="119"/>
      <c r="H8" s="119"/>
    </row>
    <row r="9" spans="1:8" ht="12.75">
      <c r="A9" s="4"/>
      <c r="B9" s="5"/>
      <c r="C9" s="5"/>
      <c r="D9" s="5"/>
      <c r="E9" s="31"/>
      <c r="F9" s="31"/>
      <c r="G9" s="6"/>
      <c r="H9" s="2"/>
    </row>
    <row r="10" spans="1:10" s="71" customFormat="1" ht="204.75" customHeight="1">
      <c r="A10" s="24" t="s">
        <v>0</v>
      </c>
      <c r="B10" s="24" t="s">
        <v>7</v>
      </c>
      <c r="C10" s="24" t="s">
        <v>25</v>
      </c>
      <c r="D10" s="24" t="s">
        <v>26</v>
      </c>
      <c r="E10" s="24" t="s">
        <v>14</v>
      </c>
      <c r="F10" s="24" t="s">
        <v>13</v>
      </c>
      <c r="G10" s="22" t="s">
        <v>27</v>
      </c>
      <c r="H10" s="24" t="s">
        <v>9</v>
      </c>
      <c r="I10" s="70" t="s">
        <v>229</v>
      </c>
      <c r="J10" s="70" t="s">
        <v>38</v>
      </c>
    </row>
    <row r="11" spans="1:8" ht="12.75">
      <c r="A11" s="11">
        <v>1</v>
      </c>
      <c r="B11" s="11">
        <v>2</v>
      </c>
      <c r="C11" s="11">
        <v>3</v>
      </c>
      <c r="D11" s="11">
        <v>4</v>
      </c>
      <c r="E11" s="8">
        <v>5</v>
      </c>
      <c r="F11" s="8">
        <v>6</v>
      </c>
      <c r="G11" s="11">
        <v>7</v>
      </c>
      <c r="H11" s="8">
        <v>8</v>
      </c>
    </row>
    <row r="12" spans="1:11" ht="88.5" customHeight="1">
      <c r="A12" s="13" t="s">
        <v>12</v>
      </c>
      <c r="B12" s="120" t="s">
        <v>242</v>
      </c>
      <c r="C12" s="120" t="s">
        <v>243</v>
      </c>
      <c r="D12" s="120" t="s">
        <v>244</v>
      </c>
      <c r="E12" s="24" t="s">
        <v>21</v>
      </c>
      <c r="F12" s="30" t="s">
        <v>238</v>
      </c>
      <c r="G12" s="75">
        <f>SUM(I12:J12)</f>
        <v>2389185.58</v>
      </c>
      <c r="H12" s="30" t="s">
        <v>241</v>
      </c>
      <c r="I12" s="68">
        <f>сводка!H22</f>
        <v>2230531.58</v>
      </c>
      <c r="J12" s="68">
        <v>158654</v>
      </c>
      <c r="K12" s="21" t="s">
        <v>235</v>
      </c>
    </row>
    <row r="13" spans="1:11" ht="88.5" customHeight="1">
      <c r="A13" s="13" t="s">
        <v>28</v>
      </c>
      <c r="B13" s="121"/>
      <c r="C13" s="121"/>
      <c r="D13" s="121"/>
      <c r="E13" s="24" t="s">
        <v>23</v>
      </c>
      <c r="F13" s="30">
        <v>0</v>
      </c>
      <c r="G13" s="75">
        <f aca="true" t="shared" si="0" ref="G13:G19">SUM(I13:J13)</f>
        <v>0</v>
      </c>
      <c r="H13" s="30">
        <v>0</v>
      </c>
      <c r="J13" s="68">
        <v>0</v>
      </c>
      <c r="K13" s="77">
        <v>0</v>
      </c>
    </row>
    <row r="14" spans="1:11" ht="88.5" customHeight="1">
      <c r="A14" s="13" t="s">
        <v>29</v>
      </c>
      <c r="B14" s="121"/>
      <c r="C14" s="121"/>
      <c r="D14" s="121"/>
      <c r="E14" s="24" t="s">
        <v>24</v>
      </c>
      <c r="F14" s="30">
        <v>0</v>
      </c>
      <c r="G14" s="75">
        <f t="shared" si="0"/>
        <v>0</v>
      </c>
      <c r="H14" s="30">
        <v>0</v>
      </c>
      <c r="J14" s="68">
        <v>0</v>
      </c>
      <c r="K14" s="21"/>
    </row>
    <row r="15" spans="1:11" ht="117" customHeight="1">
      <c r="A15" s="13" t="s">
        <v>30</v>
      </c>
      <c r="B15" s="121"/>
      <c r="C15" s="121"/>
      <c r="D15" s="121"/>
      <c r="E15" s="76" t="s">
        <v>22</v>
      </c>
      <c r="F15" s="30" t="s">
        <v>239</v>
      </c>
      <c r="G15" s="75">
        <f t="shared" si="0"/>
        <v>3611662.7932</v>
      </c>
      <c r="H15" s="30" t="s">
        <v>241</v>
      </c>
      <c r="I15" s="68">
        <f>сводка!H15+сводка!H16</f>
        <v>3492262.7932</v>
      </c>
      <c r="J15" s="68">
        <v>119400</v>
      </c>
      <c r="K15" s="21" t="s">
        <v>236</v>
      </c>
    </row>
    <row r="16" spans="1:11" ht="88.5" customHeight="1">
      <c r="A16" s="13" t="s">
        <v>31</v>
      </c>
      <c r="B16" s="121"/>
      <c r="C16" s="121"/>
      <c r="D16" s="121"/>
      <c r="E16" s="76" t="s">
        <v>20</v>
      </c>
      <c r="F16" s="30" t="s">
        <v>240</v>
      </c>
      <c r="G16" s="75">
        <f t="shared" si="0"/>
        <v>1874672.68</v>
      </c>
      <c r="H16" s="30" t="str">
        <f>сводка!I25</f>
        <v>прямая закупка</v>
      </c>
      <c r="I16" s="68">
        <f>сводка!H25</f>
        <v>1791893.68</v>
      </c>
      <c r="J16" s="68">
        <v>82779</v>
      </c>
      <c r="K16" s="21" t="s">
        <v>237</v>
      </c>
    </row>
    <row r="17" spans="1:11" ht="88.5" customHeight="1">
      <c r="A17" s="13" t="s">
        <v>32</v>
      </c>
      <c r="B17" s="121"/>
      <c r="C17" s="121"/>
      <c r="D17" s="121"/>
      <c r="E17" s="76" t="s">
        <v>19</v>
      </c>
      <c r="F17" s="30">
        <v>0</v>
      </c>
      <c r="G17" s="75">
        <f t="shared" si="0"/>
        <v>0</v>
      </c>
      <c r="H17" s="30">
        <v>0</v>
      </c>
      <c r="J17" s="68">
        <v>0</v>
      </c>
      <c r="K17" s="21">
        <v>0</v>
      </c>
    </row>
    <row r="18" spans="1:11" ht="88.5" customHeight="1">
      <c r="A18" s="13" t="s">
        <v>34</v>
      </c>
      <c r="B18" s="121"/>
      <c r="C18" s="121"/>
      <c r="D18" s="121"/>
      <c r="E18" s="24" t="s">
        <v>33</v>
      </c>
      <c r="F18" s="30">
        <v>0</v>
      </c>
      <c r="G18" s="75">
        <f t="shared" si="0"/>
        <v>0</v>
      </c>
      <c r="H18" s="30">
        <v>0</v>
      </c>
      <c r="J18" s="68">
        <v>0</v>
      </c>
      <c r="K18" s="21">
        <v>0</v>
      </c>
    </row>
    <row r="19" spans="1:11" ht="148.5" customHeight="1">
      <c r="A19" s="13" t="s">
        <v>36</v>
      </c>
      <c r="B19" s="122"/>
      <c r="C19" s="122"/>
      <c r="D19" s="122"/>
      <c r="E19" s="76" t="s">
        <v>35</v>
      </c>
      <c r="F19" s="30" t="s">
        <v>203</v>
      </c>
      <c r="G19" s="75">
        <f t="shared" si="0"/>
        <v>16824000.01</v>
      </c>
      <c r="H19" s="30" t="s">
        <v>230</v>
      </c>
      <c r="I19" s="68">
        <f>сводка!H14+сводка!H23</f>
        <v>16824000.01</v>
      </c>
      <c r="J19" s="68">
        <v>0</v>
      </c>
      <c r="K19" s="21">
        <v>0</v>
      </c>
    </row>
    <row r="20" spans="1:10" ht="12.75">
      <c r="A20" s="4"/>
      <c r="B20" s="5"/>
      <c r="C20" s="5"/>
      <c r="D20" s="5"/>
      <c r="E20" s="31"/>
      <c r="F20" s="31"/>
      <c r="G20" s="81">
        <f>SUM(G12:G19)</f>
        <v>24699521.0632</v>
      </c>
      <c r="H20" s="2"/>
      <c r="I20" s="68">
        <f>SUM(I12:I19)</f>
        <v>24338688.0632</v>
      </c>
      <c r="J20" s="68">
        <f>SUM(J12:J19)</f>
        <v>360833</v>
      </c>
    </row>
    <row r="27" ht="12.75">
      <c r="G27" s="80"/>
    </row>
  </sheetData>
  <sheetProtection/>
  <mergeCells count="6">
    <mergeCell ref="A6:H6"/>
    <mergeCell ref="A7:H7"/>
    <mergeCell ref="A8:H8"/>
    <mergeCell ref="B12:B19"/>
    <mergeCell ref="C12:C19"/>
    <mergeCell ref="D12:D19"/>
  </mergeCells>
  <printOptions/>
  <pageMargins left="0.25" right="0.25" top="0.75" bottom="0.75" header="0.3" footer="0.3"/>
  <pageSetup horizontalDpi="600" verticalDpi="600" orientation="landscape" paperSize="9" scale="62" r:id="rId1"/>
</worksheet>
</file>

<file path=xl/worksheets/sheet10.xml><?xml version="1.0" encoding="utf-8"?>
<worksheet xmlns="http://schemas.openxmlformats.org/spreadsheetml/2006/main" xmlns:r="http://schemas.openxmlformats.org/officeDocument/2006/relationships">
  <dimension ref="A1:J20"/>
  <sheetViews>
    <sheetView zoomScale="80" zoomScaleNormal="80" zoomScalePageLayoutView="0" workbookViewId="0" topLeftCell="A1">
      <selection activeCell="H12" sqref="H12:H19"/>
    </sheetView>
  </sheetViews>
  <sheetFormatPr defaultColWidth="9.00390625" defaultRowHeight="12.75" outlineLevelCol="1"/>
  <cols>
    <col min="1" max="1" width="8.25390625" style="0" customWidth="1"/>
    <col min="2" max="2" width="55.00390625" style="35" customWidth="1"/>
    <col min="3" max="4" width="37.25390625" style="35" customWidth="1"/>
    <col min="5" max="5" width="31.00390625" style="0" customWidth="1"/>
    <col min="6" max="6" width="21.625" style="33" customWidth="1"/>
    <col min="7" max="7" width="21.625" style="0" customWidth="1"/>
    <col min="8" max="8" width="21.625" style="33" customWidth="1"/>
    <col min="9" max="9" width="18.625" style="0" hidden="1" customWidth="1" outlineLevel="1"/>
    <col min="10" max="10" width="14.375" style="0" hidden="1" customWidth="1" outlineLevel="1"/>
    <col min="11" max="11" width="9.125" style="0" customWidth="1" collapsed="1"/>
  </cols>
  <sheetData>
    <row r="1" spans="1:8" ht="12.75">
      <c r="A1" s="4"/>
      <c r="B1" s="5"/>
      <c r="C1" s="5"/>
      <c r="D1" s="5"/>
      <c r="E1" s="2"/>
      <c r="F1" s="31"/>
      <c r="G1" s="6"/>
      <c r="H1" s="20" t="s">
        <v>3</v>
      </c>
    </row>
    <row r="2" spans="1:8" ht="12.75">
      <c r="A2" s="4"/>
      <c r="B2" s="5"/>
      <c r="C2" s="5"/>
      <c r="D2" s="5"/>
      <c r="E2" s="2"/>
      <c r="F2" s="31"/>
      <c r="G2" s="6"/>
      <c r="H2" s="20" t="s">
        <v>1</v>
      </c>
    </row>
    <row r="3" spans="1:8" ht="12.75">
      <c r="A3" s="4"/>
      <c r="B3" s="5"/>
      <c r="C3" s="5"/>
      <c r="D3" s="5"/>
      <c r="E3" s="2"/>
      <c r="F3" s="31"/>
      <c r="G3" s="6"/>
      <c r="H3" s="20" t="s">
        <v>2</v>
      </c>
    </row>
    <row r="4" spans="1:8" ht="12.75">
      <c r="A4" s="4"/>
      <c r="B4" s="5"/>
      <c r="C4" s="5"/>
      <c r="D4" s="5"/>
      <c r="E4" s="2"/>
      <c r="F4" s="31"/>
      <c r="G4" s="6"/>
      <c r="H4" s="2"/>
    </row>
    <row r="5" spans="1:8" ht="12.75">
      <c r="A5" s="4"/>
      <c r="B5" s="5"/>
      <c r="C5" s="5"/>
      <c r="D5" s="5"/>
      <c r="E5" s="2"/>
      <c r="F5" s="31"/>
      <c r="G5" s="6"/>
      <c r="H5" s="2"/>
    </row>
    <row r="6" spans="1:8" ht="15.75">
      <c r="A6" s="119" t="s">
        <v>4</v>
      </c>
      <c r="B6" s="119"/>
      <c r="C6" s="119"/>
      <c r="D6" s="119"/>
      <c r="E6" s="119"/>
      <c r="F6" s="119"/>
      <c r="G6" s="119"/>
      <c r="H6" s="119"/>
    </row>
    <row r="7" spans="1:8" ht="15.75">
      <c r="A7" s="119" t="s">
        <v>382</v>
      </c>
      <c r="B7" s="119"/>
      <c r="C7" s="119"/>
      <c r="D7" s="119"/>
      <c r="E7" s="119"/>
      <c r="F7" s="119"/>
      <c r="G7" s="119"/>
      <c r="H7" s="119"/>
    </row>
    <row r="8" spans="1:8" ht="15.75">
      <c r="A8" s="119"/>
      <c r="B8" s="119"/>
      <c r="C8" s="119"/>
      <c r="D8" s="119"/>
      <c r="E8" s="119"/>
      <c r="F8" s="119"/>
      <c r="G8" s="119"/>
      <c r="H8" s="119"/>
    </row>
    <row r="9" spans="1:8" ht="12.75">
      <c r="A9" s="4"/>
      <c r="B9" s="5"/>
      <c r="C9" s="5"/>
      <c r="D9" s="5"/>
      <c r="E9" s="2"/>
      <c r="F9" s="31"/>
      <c r="G9" s="6"/>
      <c r="H9" s="2"/>
    </row>
    <row r="10" spans="1:10" s="25" customFormat="1" ht="157.5" customHeight="1">
      <c r="A10" s="24" t="s">
        <v>0</v>
      </c>
      <c r="B10" s="24" t="s">
        <v>7</v>
      </c>
      <c r="C10" s="24" t="s">
        <v>25</v>
      </c>
      <c r="D10" s="24" t="s">
        <v>26</v>
      </c>
      <c r="E10" s="24" t="s">
        <v>14</v>
      </c>
      <c r="F10" s="24" t="s">
        <v>13</v>
      </c>
      <c r="G10" s="22" t="s">
        <v>27</v>
      </c>
      <c r="H10" s="24" t="s">
        <v>9</v>
      </c>
      <c r="I10" s="70" t="s">
        <v>229</v>
      </c>
      <c r="J10" s="70" t="s">
        <v>38</v>
      </c>
    </row>
    <row r="11" spans="1:8" ht="12.75">
      <c r="A11" s="11">
        <v>1</v>
      </c>
      <c r="B11" s="11">
        <v>2</v>
      </c>
      <c r="C11" s="11">
        <v>3</v>
      </c>
      <c r="D11" s="11">
        <v>4</v>
      </c>
      <c r="E11" s="8">
        <v>5</v>
      </c>
      <c r="F11" s="8">
        <v>6</v>
      </c>
      <c r="G11" s="11">
        <v>7</v>
      </c>
      <c r="H11" s="8">
        <v>8</v>
      </c>
    </row>
    <row r="12" spans="1:10" ht="116.25" customHeight="1">
      <c r="A12" s="13" t="s">
        <v>12</v>
      </c>
      <c r="B12" s="120"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20"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20"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30" t="s">
        <v>437</v>
      </c>
      <c r="G12" s="21">
        <f aca="true" t="shared" si="0" ref="G12:G19">SUM(I12:J12)</f>
        <v>737735</v>
      </c>
      <c r="H12" s="30" t="s">
        <v>275</v>
      </c>
      <c r="I12" s="70"/>
      <c r="J12" s="70">
        <v>737735</v>
      </c>
    </row>
    <row r="13" spans="1:10" ht="116.25" customHeight="1">
      <c r="A13" s="13" t="s">
        <v>28</v>
      </c>
      <c r="B13" s="123"/>
      <c r="C13" s="123"/>
      <c r="D13" s="123"/>
      <c r="E13" s="3" t="s">
        <v>23</v>
      </c>
      <c r="F13" s="30" t="s">
        <v>438</v>
      </c>
      <c r="G13" s="21">
        <f t="shared" si="0"/>
        <v>35965</v>
      </c>
      <c r="H13" s="30" t="s">
        <v>275</v>
      </c>
      <c r="I13" s="70"/>
      <c r="J13" s="70">
        <v>35965</v>
      </c>
    </row>
    <row r="14" spans="1:10" ht="116.25" customHeight="1">
      <c r="A14" s="13" t="s">
        <v>29</v>
      </c>
      <c r="B14" s="123"/>
      <c r="C14" s="123"/>
      <c r="D14" s="123"/>
      <c r="E14" s="19" t="s">
        <v>24</v>
      </c>
      <c r="F14" s="30" t="s">
        <v>439</v>
      </c>
      <c r="G14" s="21">
        <f t="shared" si="0"/>
        <v>1154950.76</v>
      </c>
      <c r="H14" s="30" t="s">
        <v>440</v>
      </c>
      <c r="I14" s="70"/>
      <c r="J14" s="70">
        <v>1154950.76</v>
      </c>
    </row>
    <row r="15" spans="1:10" ht="116.25" customHeight="1">
      <c r="A15" s="13" t="s">
        <v>30</v>
      </c>
      <c r="B15" s="123"/>
      <c r="C15" s="123"/>
      <c r="D15" s="123"/>
      <c r="E15" s="1" t="s">
        <v>22</v>
      </c>
      <c r="F15" s="30" t="s">
        <v>441</v>
      </c>
      <c r="G15" s="21">
        <f t="shared" si="0"/>
        <v>386638</v>
      </c>
      <c r="H15" s="30" t="s">
        <v>275</v>
      </c>
      <c r="I15" s="70"/>
      <c r="J15" s="70">
        <v>386638</v>
      </c>
    </row>
    <row r="16" spans="1:10" ht="116.25" customHeight="1">
      <c r="A16" s="13" t="s">
        <v>31</v>
      </c>
      <c r="B16" s="123"/>
      <c r="C16" s="123"/>
      <c r="D16" s="123"/>
      <c r="E16" s="1" t="s">
        <v>20</v>
      </c>
      <c r="F16" s="30" t="s">
        <v>442</v>
      </c>
      <c r="G16" s="21">
        <f t="shared" si="0"/>
        <v>113499</v>
      </c>
      <c r="H16" s="30" t="s">
        <v>275</v>
      </c>
      <c r="I16" s="70"/>
      <c r="J16" s="70">
        <v>113499</v>
      </c>
    </row>
    <row r="17" spans="1:10" ht="116.25" customHeight="1">
      <c r="A17" s="13" t="s">
        <v>32</v>
      </c>
      <c r="B17" s="123"/>
      <c r="C17" s="123"/>
      <c r="D17" s="123"/>
      <c r="E17" s="1" t="s">
        <v>19</v>
      </c>
      <c r="F17" s="30" t="s">
        <v>430</v>
      </c>
      <c r="G17" s="21">
        <f t="shared" si="0"/>
        <v>1219194</v>
      </c>
      <c r="H17" s="30" t="s">
        <v>11</v>
      </c>
      <c r="I17" s="70">
        <f>сводка!H98</f>
        <v>1219194</v>
      </c>
      <c r="J17" s="70"/>
    </row>
    <row r="18" spans="1:10" ht="116.25" customHeight="1">
      <c r="A18" s="13" t="s">
        <v>34</v>
      </c>
      <c r="B18" s="123"/>
      <c r="C18" s="123"/>
      <c r="D18" s="123"/>
      <c r="E18" s="19" t="s">
        <v>33</v>
      </c>
      <c r="F18" s="30" t="s">
        <v>443</v>
      </c>
      <c r="G18" s="21">
        <f t="shared" si="0"/>
        <v>7585462.7299999995</v>
      </c>
      <c r="H18" s="30" t="s">
        <v>366</v>
      </c>
      <c r="I18" s="70">
        <f>сводка!H105</f>
        <v>6636495.7299999995</v>
      </c>
      <c r="J18" s="70">
        <v>948967</v>
      </c>
    </row>
    <row r="19" spans="1:10" ht="116.25" customHeight="1">
      <c r="A19" s="13" t="s">
        <v>36</v>
      </c>
      <c r="B19" s="124"/>
      <c r="C19" s="124"/>
      <c r="D19" s="124"/>
      <c r="E19" s="1" t="s">
        <v>35</v>
      </c>
      <c r="F19" s="30" t="s">
        <v>196</v>
      </c>
      <c r="G19" s="21">
        <f t="shared" si="0"/>
        <v>4500000</v>
      </c>
      <c r="H19" s="30" t="s">
        <v>18</v>
      </c>
      <c r="I19" s="70">
        <v>4500000</v>
      </c>
      <c r="J19" s="70"/>
    </row>
    <row r="20" spans="1:10" ht="12.75">
      <c r="A20" s="4"/>
      <c r="B20" s="5"/>
      <c r="C20" s="5"/>
      <c r="D20" s="5"/>
      <c r="E20" s="2"/>
      <c r="F20" s="31"/>
      <c r="G20" s="23">
        <f>SUM(G12:G19)</f>
        <v>15733444.489999998</v>
      </c>
      <c r="H20" s="2"/>
      <c r="I20" s="70">
        <f>SUM(I12:I19)</f>
        <v>12355689.73</v>
      </c>
      <c r="J20" s="70">
        <f>SUM(J12:J19)</f>
        <v>3377754.76</v>
      </c>
    </row>
  </sheetData>
  <sheetProtection/>
  <mergeCells count="6">
    <mergeCell ref="A6:H6"/>
    <mergeCell ref="A7:H7"/>
    <mergeCell ref="A8:H8"/>
    <mergeCell ref="B12:B19"/>
    <mergeCell ref="C12:C19"/>
    <mergeCell ref="D12:D1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20"/>
  <sheetViews>
    <sheetView zoomScale="80" zoomScaleNormal="80" zoomScalePageLayoutView="0" workbookViewId="0" topLeftCell="A1">
      <selection activeCell="H12" sqref="H12:H19"/>
    </sheetView>
  </sheetViews>
  <sheetFormatPr defaultColWidth="9.00390625" defaultRowHeight="12.75" outlineLevelCol="1"/>
  <cols>
    <col min="1" max="1" width="8.25390625" style="0" customWidth="1"/>
    <col min="2" max="2" width="54.625" style="35" customWidth="1"/>
    <col min="3" max="4" width="37.375" style="35" customWidth="1"/>
    <col min="5" max="5" width="31.00390625" style="0" customWidth="1"/>
    <col min="6" max="8" width="21.625" style="33" customWidth="1"/>
    <col min="9" max="9" width="18.625" style="0" hidden="1" customWidth="1" outlineLevel="1"/>
    <col min="10" max="10" width="16.25390625" style="0" hidden="1" customWidth="1" outlineLevel="1"/>
    <col min="11" max="11" width="9.125" style="0" customWidth="1" collapsed="1"/>
  </cols>
  <sheetData>
    <row r="1" spans="1:8" ht="12.75">
      <c r="A1" s="4"/>
      <c r="B1" s="5"/>
      <c r="C1" s="5"/>
      <c r="D1" s="5"/>
      <c r="E1" s="2"/>
      <c r="F1" s="31"/>
      <c r="G1" s="87"/>
      <c r="H1" s="20" t="s">
        <v>3</v>
      </c>
    </row>
    <row r="2" spans="1:8" ht="12.75">
      <c r="A2" s="4"/>
      <c r="B2" s="5"/>
      <c r="C2" s="5"/>
      <c r="D2" s="5"/>
      <c r="E2" s="2"/>
      <c r="F2" s="31"/>
      <c r="G2" s="87"/>
      <c r="H2" s="20" t="s">
        <v>1</v>
      </c>
    </row>
    <row r="3" spans="1:8" ht="12.75">
      <c r="A3" s="4"/>
      <c r="B3" s="5"/>
      <c r="C3" s="5"/>
      <c r="D3" s="5"/>
      <c r="E3" s="2"/>
      <c r="F3" s="31"/>
      <c r="G3" s="87"/>
      <c r="H3" s="20" t="s">
        <v>2</v>
      </c>
    </row>
    <row r="4" spans="1:8" ht="12.75">
      <c r="A4" s="4"/>
      <c r="B4" s="5"/>
      <c r="C4" s="5"/>
      <c r="D4" s="5"/>
      <c r="E4" s="2"/>
      <c r="F4" s="31"/>
      <c r="G4" s="87"/>
      <c r="H4" s="2"/>
    </row>
    <row r="5" spans="1:8" ht="12.75">
      <c r="A5" s="4"/>
      <c r="B5" s="5"/>
      <c r="C5" s="5"/>
      <c r="D5" s="5"/>
      <c r="E5" s="2"/>
      <c r="F5" s="31"/>
      <c r="G5" s="87"/>
      <c r="H5" s="2"/>
    </row>
    <row r="6" spans="1:8" ht="15.75">
      <c r="A6" s="119" t="s">
        <v>4</v>
      </c>
      <c r="B6" s="119"/>
      <c r="C6" s="119"/>
      <c r="D6" s="119"/>
      <c r="E6" s="119"/>
      <c r="F6" s="119"/>
      <c r="G6" s="119"/>
      <c r="H6" s="119"/>
    </row>
    <row r="7" spans="1:8" ht="15.75">
      <c r="A7" s="119" t="s">
        <v>383</v>
      </c>
      <c r="B7" s="119"/>
      <c r="C7" s="119"/>
      <c r="D7" s="119"/>
      <c r="E7" s="119"/>
      <c r="F7" s="119"/>
      <c r="G7" s="119"/>
      <c r="H7" s="119"/>
    </row>
    <row r="8" spans="1:8" ht="15.75">
      <c r="A8" s="119"/>
      <c r="B8" s="119"/>
      <c r="C8" s="119"/>
      <c r="D8" s="119"/>
      <c r="E8" s="119"/>
      <c r="F8" s="119"/>
      <c r="G8" s="119"/>
      <c r="H8" s="119"/>
    </row>
    <row r="9" spans="1:8" ht="12.75">
      <c r="A9" s="4"/>
      <c r="B9" s="5"/>
      <c r="C9" s="5"/>
      <c r="D9" s="5"/>
      <c r="E9" s="2"/>
      <c r="F9" s="31"/>
      <c r="G9" s="87"/>
      <c r="H9" s="2"/>
    </row>
    <row r="10" spans="1:10" s="25" customFormat="1" ht="158.25" customHeight="1">
      <c r="A10" s="24" t="s">
        <v>0</v>
      </c>
      <c r="B10" s="24" t="s">
        <v>7</v>
      </c>
      <c r="C10" s="24" t="s">
        <v>25</v>
      </c>
      <c r="D10" s="24" t="s">
        <v>26</v>
      </c>
      <c r="E10" s="24" t="s">
        <v>14</v>
      </c>
      <c r="F10" s="24" t="s">
        <v>13</v>
      </c>
      <c r="G10" s="22" t="s">
        <v>27</v>
      </c>
      <c r="H10" s="24" t="s">
        <v>9</v>
      </c>
      <c r="I10" s="70" t="s">
        <v>229</v>
      </c>
      <c r="J10" s="70" t="s">
        <v>38</v>
      </c>
    </row>
    <row r="11" spans="1:8" ht="12.75">
      <c r="A11" s="11">
        <v>1</v>
      </c>
      <c r="B11" s="11">
        <v>2</v>
      </c>
      <c r="C11" s="11">
        <v>3</v>
      </c>
      <c r="D11" s="11">
        <v>4</v>
      </c>
      <c r="E11" s="8">
        <v>5</v>
      </c>
      <c r="F11" s="8">
        <v>6</v>
      </c>
      <c r="G11" s="8">
        <v>7</v>
      </c>
      <c r="H11" s="8">
        <v>8</v>
      </c>
    </row>
    <row r="12" spans="1:10" ht="118.5" customHeight="1">
      <c r="A12" s="13" t="s">
        <v>12</v>
      </c>
      <c r="B12" s="120"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20"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20"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30" t="s">
        <v>444</v>
      </c>
      <c r="G12" s="30">
        <f aca="true" t="shared" si="0" ref="G12:G19">SUM(I12:J12)</f>
        <v>855554.8</v>
      </c>
      <c r="H12" s="30" t="s">
        <v>275</v>
      </c>
      <c r="I12" s="70"/>
      <c r="J12" s="70">
        <v>855554.8</v>
      </c>
    </row>
    <row r="13" spans="1:10" ht="118.5" customHeight="1">
      <c r="A13" s="13" t="s">
        <v>28</v>
      </c>
      <c r="B13" s="123"/>
      <c r="C13" s="123"/>
      <c r="D13" s="123"/>
      <c r="E13" s="3" t="s">
        <v>23</v>
      </c>
      <c r="F13" s="30" t="s">
        <v>445</v>
      </c>
      <c r="G13" s="30">
        <f t="shared" si="0"/>
        <v>9420</v>
      </c>
      <c r="H13" s="30" t="s">
        <v>275</v>
      </c>
      <c r="I13" s="70"/>
      <c r="J13" s="70">
        <v>9420</v>
      </c>
    </row>
    <row r="14" spans="1:10" ht="118.5" customHeight="1">
      <c r="A14" s="13" t="s">
        <v>29</v>
      </c>
      <c r="B14" s="123"/>
      <c r="C14" s="123"/>
      <c r="D14" s="123"/>
      <c r="E14" s="19" t="s">
        <v>24</v>
      </c>
      <c r="F14" s="30" t="s">
        <v>206</v>
      </c>
      <c r="G14" s="30">
        <f t="shared" si="0"/>
        <v>630400</v>
      </c>
      <c r="H14" s="30" t="s">
        <v>440</v>
      </c>
      <c r="I14" s="70"/>
      <c r="J14" s="70">
        <v>630400</v>
      </c>
    </row>
    <row r="15" spans="1:10" ht="118.5" customHeight="1">
      <c r="A15" s="13" t="s">
        <v>30</v>
      </c>
      <c r="B15" s="123"/>
      <c r="C15" s="123"/>
      <c r="D15" s="123"/>
      <c r="E15" s="1" t="s">
        <v>22</v>
      </c>
      <c r="F15" s="30" t="s">
        <v>446</v>
      </c>
      <c r="G15" s="30">
        <f t="shared" si="0"/>
        <v>3698910</v>
      </c>
      <c r="H15" s="30" t="s">
        <v>440</v>
      </c>
      <c r="I15" s="70"/>
      <c r="J15" s="70">
        <v>3698910</v>
      </c>
    </row>
    <row r="16" spans="1:10" ht="118.5" customHeight="1">
      <c r="A16" s="13" t="s">
        <v>31</v>
      </c>
      <c r="B16" s="123"/>
      <c r="C16" s="123"/>
      <c r="D16" s="123"/>
      <c r="E16" s="1" t="s">
        <v>20</v>
      </c>
      <c r="F16" s="30" t="s">
        <v>447</v>
      </c>
      <c r="G16" s="30">
        <f t="shared" si="0"/>
        <v>166709.22</v>
      </c>
      <c r="H16" s="30" t="s">
        <v>275</v>
      </c>
      <c r="I16" s="70"/>
      <c r="J16" s="70">
        <v>166709.22</v>
      </c>
    </row>
    <row r="17" spans="1:10" ht="118.5" customHeight="1">
      <c r="A17" s="13" t="s">
        <v>32</v>
      </c>
      <c r="B17" s="123"/>
      <c r="C17" s="123"/>
      <c r="D17" s="123"/>
      <c r="E17" s="1" t="s">
        <v>19</v>
      </c>
      <c r="F17" s="30" t="s">
        <v>431</v>
      </c>
      <c r="G17" s="30">
        <f t="shared" si="0"/>
        <v>13580624.0162</v>
      </c>
      <c r="H17" s="30" t="s">
        <v>11</v>
      </c>
      <c r="I17" s="70">
        <f>сводка!H112+сводка!H115+сводка!H116</f>
        <v>13580624.0162</v>
      </c>
      <c r="J17" s="70"/>
    </row>
    <row r="18" spans="1:10" ht="118.5" customHeight="1">
      <c r="A18" s="13" t="s">
        <v>34</v>
      </c>
      <c r="B18" s="123"/>
      <c r="C18" s="123"/>
      <c r="D18" s="123"/>
      <c r="E18" s="19" t="s">
        <v>33</v>
      </c>
      <c r="F18" s="30" t="s">
        <v>448</v>
      </c>
      <c r="G18" s="30">
        <f t="shared" si="0"/>
        <v>868652</v>
      </c>
      <c r="H18" s="30" t="s">
        <v>275</v>
      </c>
      <c r="I18" s="70"/>
      <c r="J18" s="70">
        <v>868652</v>
      </c>
    </row>
    <row r="19" spans="1:10" ht="118.5" customHeight="1">
      <c r="A19" s="13" t="s">
        <v>36</v>
      </c>
      <c r="B19" s="124"/>
      <c r="C19" s="124"/>
      <c r="D19" s="124"/>
      <c r="E19" s="1" t="s">
        <v>35</v>
      </c>
      <c r="F19" s="30">
        <v>0</v>
      </c>
      <c r="G19" s="30">
        <f t="shared" si="0"/>
        <v>0</v>
      </c>
      <c r="H19" s="30">
        <v>0</v>
      </c>
      <c r="I19" s="70"/>
      <c r="J19" s="70"/>
    </row>
    <row r="20" spans="1:10" ht="12.75">
      <c r="A20" s="4"/>
      <c r="B20" s="5"/>
      <c r="C20" s="5"/>
      <c r="D20" s="5"/>
      <c r="E20" s="2"/>
      <c r="F20" s="31"/>
      <c r="G20" s="117">
        <f>SUM(G12:G19)</f>
        <v>19810270.0362</v>
      </c>
      <c r="H20" s="2"/>
      <c r="I20" s="70">
        <f>SUM(I12:I19)</f>
        <v>13580624.0162</v>
      </c>
      <c r="J20" s="70">
        <f>SUM(J12:J19)</f>
        <v>6229646.02</v>
      </c>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26"/>
  <sheetViews>
    <sheetView tabSelected="1" zoomScale="90" zoomScaleNormal="90" zoomScalePageLayoutView="0" workbookViewId="0" topLeftCell="A1">
      <selection activeCell="L13" sqref="L13"/>
    </sheetView>
  </sheetViews>
  <sheetFormatPr defaultColWidth="9.00390625" defaultRowHeight="12.75"/>
  <cols>
    <col min="1" max="1" width="8.25390625" style="0" customWidth="1"/>
    <col min="2" max="2" width="54.625" style="35" customWidth="1"/>
    <col min="3" max="4" width="37.75390625" style="35" customWidth="1"/>
    <col min="5" max="5" width="32.625" style="0" customWidth="1"/>
    <col min="6" max="8" width="21.625" style="33" customWidth="1"/>
  </cols>
  <sheetData>
    <row r="1" spans="1:8" ht="12.75">
      <c r="A1" s="4"/>
      <c r="B1" s="5"/>
      <c r="C1" s="5"/>
      <c r="D1" s="5"/>
      <c r="E1" s="2"/>
      <c r="F1" s="31"/>
      <c r="G1" s="87"/>
      <c r="H1" s="20" t="s">
        <v>3</v>
      </c>
    </row>
    <row r="2" spans="1:8" ht="12.75">
      <c r="A2" s="4"/>
      <c r="B2" s="5"/>
      <c r="C2" s="5"/>
      <c r="D2" s="5"/>
      <c r="E2" s="2"/>
      <c r="F2" s="31"/>
      <c r="G2" s="87"/>
      <c r="H2" s="20" t="s">
        <v>1</v>
      </c>
    </row>
    <row r="3" spans="1:8" ht="12.75">
      <c r="A3" s="4"/>
      <c r="B3" s="5"/>
      <c r="C3" s="5"/>
      <c r="D3" s="5"/>
      <c r="E3" s="2"/>
      <c r="F3" s="31"/>
      <c r="G3" s="87"/>
      <c r="H3" s="20" t="s">
        <v>2</v>
      </c>
    </row>
    <row r="4" spans="1:8" ht="12.75">
      <c r="A4" s="4"/>
      <c r="B4" s="5"/>
      <c r="C4" s="5"/>
      <c r="D4" s="5"/>
      <c r="E4" s="2"/>
      <c r="F4" s="31"/>
      <c r="G4" s="87"/>
      <c r="H4" s="2"/>
    </row>
    <row r="5" spans="1:8" ht="12.75">
      <c r="A5" s="4"/>
      <c r="B5" s="5"/>
      <c r="C5" s="5"/>
      <c r="D5" s="5"/>
      <c r="E5" s="2"/>
      <c r="F5" s="31"/>
      <c r="G5" s="87"/>
      <c r="H5" s="2"/>
    </row>
    <row r="6" spans="1:8" ht="15.75">
      <c r="A6" s="119" t="s">
        <v>4</v>
      </c>
      <c r="B6" s="119"/>
      <c r="C6" s="119"/>
      <c r="D6" s="119"/>
      <c r="E6" s="119"/>
      <c r="F6" s="119"/>
      <c r="G6" s="119"/>
      <c r="H6" s="119"/>
    </row>
    <row r="7" spans="1:8" ht="15.75">
      <c r="A7" s="119" t="s">
        <v>384</v>
      </c>
      <c r="B7" s="119"/>
      <c r="C7" s="119"/>
      <c r="D7" s="119"/>
      <c r="E7" s="119"/>
      <c r="F7" s="119"/>
      <c r="G7" s="119"/>
      <c r="H7" s="119"/>
    </row>
    <row r="8" spans="1:8" ht="15.75">
      <c r="A8" s="119"/>
      <c r="B8" s="119"/>
      <c r="C8" s="119"/>
      <c r="D8" s="119"/>
      <c r="E8" s="119"/>
      <c r="F8" s="119"/>
      <c r="G8" s="119"/>
      <c r="H8" s="119"/>
    </row>
    <row r="9" spans="1:8" ht="12.75">
      <c r="A9" s="4"/>
      <c r="B9" s="5"/>
      <c r="C9" s="5"/>
      <c r="D9" s="5"/>
      <c r="E9" s="2"/>
      <c r="F9" s="31"/>
      <c r="G9" s="87"/>
      <c r="H9" s="2"/>
    </row>
    <row r="10" spans="1:8" s="25" customFormat="1" ht="127.5">
      <c r="A10" s="24" t="s">
        <v>0</v>
      </c>
      <c r="B10" s="24" t="s">
        <v>7</v>
      </c>
      <c r="C10" s="24" t="s">
        <v>25</v>
      </c>
      <c r="D10" s="24" t="s">
        <v>26</v>
      </c>
      <c r="E10" s="24" t="s">
        <v>14</v>
      </c>
      <c r="F10" s="24" t="s">
        <v>13</v>
      </c>
      <c r="G10" s="22" t="s">
        <v>27</v>
      </c>
      <c r="H10" s="24" t="s">
        <v>9</v>
      </c>
    </row>
    <row r="11" spans="1:8" ht="12.75">
      <c r="A11" s="11">
        <v>1</v>
      </c>
      <c r="B11" s="11">
        <v>2</v>
      </c>
      <c r="C11" s="11">
        <v>3</v>
      </c>
      <c r="D11" s="11">
        <v>4</v>
      </c>
      <c r="E11" s="8">
        <v>5</v>
      </c>
      <c r="F11" s="8">
        <v>6</v>
      </c>
      <c r="G11" s="8">
        <v>7</v>
      </c>
      <c r="H11" s="8">
        <v>8</v>
      </c>
    </row>
    <row r="12" spans="1:8" ht="114.75" customHeight="1">
      <c r="A12" s="13" t="s">
        <v>12</v>
      </c>
      <c r="B12" s="120"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20"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20"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30" t="s">
        <v>449</v>
      </c>
      <c r="G12" s="30">
        <f>июль!G12+август!G12+сентябрь!G12</f>
        <v>2479226.05</v>
      </c>
      <c r="H12" s="30" t="s">
        <v>231</v>
      </c>
    </row>
    <row r="13" spans="1:8" ht="114.75" customHeight="1">
      <c r="A13" s="13" t="s">
        <v>28</v>
      </c>
      <c r="B13" s="123"/>
      <c r="C13" s="123"/>
      <c r="D13" s="123"/>
      <c r="E13" s="3" t="s">
        <v>23</v>
      </c>
      <c r="F13" s="30" t="s">
        <v>450</v>
      </c>
      <c r="G13" s="30">
        <f>июль!G13+август!G13+сентябрь!G13</f>
        <v>58367</v>
      </c>
      <c r="H13" s="30" t="s">
        <v>231</v>
      </c>
    </row>
    <row r="14" spans="1:8" ht="114.75" customHeight="1">
      <c r="A14" s="13" t="s">
        <v>29</v>
      </c>
      <c r="B14" s="123"/>
      <c r="C14" s="123"/>
      <c r="D14" s="123"/>
      <c r="E14" s="19" t="s">
        <v>24</v>
      </c>
      <c r="F14" s="30" t="s">
        <v>451</v>
      </c>
      <c r="G14" s="30">
        <f>июль!G14+август!G14+сентябрь!G14</f>
        <v>6682296.4399999995</v>
      </c>
      <c r="H14" s="30" t="s">
        <v>241</v>
      </c>
    </row>
    <row r="15" spans="1:8" ht="114.75" customHeight="1">
      <c r="A15" s="13" t="s">
        <v>30</v>
      </c>
      <c r="B15" s="123"/>
      <c r="C15" s="123"/>
      <c r="D15" s="123"/>
      <c r="E15" s="1" t="s">
        <v>22</v>
      </c>
      <c r="F15" s="30" t="s">
        <v>452</v>
      </c>
      <c r="G15" s="30">
        <f>июль!G15+август!G15+сентябрь!G15</f>
        <v>5535510.32</v>
      </c>
      <c r="H15" s="30" t="s">
        <v>231</v>
      </c>
    </row>
    <row r="16" spans="1:8" ht="114.75" customHeight="1">
      <c r="A16" s="13" t="s">
        <v>31</v>
      </c>
      <c r="B16" s="123"/>
      <c r="C16" s="123"/>
      <c r="D16" s="123"/>
      <c r="E16" s="1" t="s">
        <v>20</v>
      </c>
      <c r="F16" s="30" t="s">
        <v>453</v>
      </c>
      <c r="G16" s="30">
        <f>июль!G16+август!G16+сентябрь!G16</f>
        <v>403645.22</v>
      </c>
      <c r="H16" s="30" t="s">
        <v>231</v>
      </c>
    </row>
    <row r="17" spans="1:8" ht="114.75" customHeight="1">
      <c r="A17" s="13" t="s">
        <v>32</v>
      </c>
      <c r="B17" s="123"/>
      <c r="C17" s="123"/>
      <c r="D17" s="123"/>
      <c r="E17" s="1" t="s">
        <v>19</v>
      </c>
      <c r="F17" s="30" t="s">
        <v>454</v>
      </c>
      <c r="G17" s="30">
        <f>июль!G17+август!G17+сентябрь!G17</f>
        <v>14799818.0162</v>
      </c>
      <c r="H17" s="30">
        <v>0</v>
      </c>
    </row>
    <row r="18" spans="1:8" ht="114.75" customHeight="1">
      <c r="A18" s="13" t="s">
        <v>34</v>
      </c>
      <c r="B18" s="123"/>
      <c r="C18" s="123"/>
      <c r="D18" s="123"/>
      <c r="E18" s="19" t="s">
        <v>33</v>
      </c>
      <c r="F18" s="30" t="s">
        <v>455</v>
      </c>
      <c r="G18" s="30">
        <f>июль!G18+август!G18+сентябрь!G18</f>
        <v>9415138.129999999</v>
      </c>
      <c r="H18" s="30" t="s">
        <v>366</v>
      </c>
    </row>
    <row r="19" spans="1:8" ht="114.75" customHeight="1">
      <c r="A19" s="13" t="s">
        <v>36</v>
      </c>
      <c r="B19" s="124"/>
      <c r="C19" s="124"/>
      <c r="D19" s="124"/>
      <c r="E19" s="1" t="s">
        <v>35</v>
      </c>
      <c r="F19" s="30" t="s">
        <v>196</v>
      </c>
      <c r="G19" s="30">
        <f>июль!G19+август!G19+сентябрь!G19</f>
        <v>4500000</v>
      </c>
      <c r="H19" s="30">
        <v>0</v>
      </c>
    </row>
    <row r="20" spans="1:8" ht="12.75">
      <c r="A20" s="4"/>
      <c r="B20" s="5"/>
      <c r="C20" s="5"/>
      <c r="D20" s="5"/>
      <c r="E20" s="2"/>
      <c r="F20" s="31"/>
      <c r="G20" s="117">
        <f>SUM(G12:G19)</f>
        <v>43874001.1762</v>
      </c>
      <c r="H20" s="2"/>
    </row>
    <row r="23" ht="12.75">
      <c r="G23" s="118"/>
    </row>
    <row r="24" ht="12.75">
      <c r="G24" s="118"/>
    </row>
    <row r="26" ht="12.75">
      <c r="G26" s="113"/>
    </row>
  </sheetData>
  <sheetProtection/>
  <mergeCells count="6">
    <mergeCell ref="A6:H6"/>
    <mergeCell ref="A7:H7"/>
    <mergeCell ref="A8:H8"/>
    <mergeCell ref="B12:B19"/>
    <mergeCell ref="C12:C19"/>
    <mergeCell ref="D12:D1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20"/>
  <sheetViews>
    <sheetView zoomScalePageLayoutView="0" workbookViewId="0" topLeftCell="A1">
      <selection activeCell="A8" sqref="A8:H8"/>
    </sheetView>
  </sheetViews>
  <sheetFormatPr defaultColWidth="9.00390625" defaultRowHeight="12.75"/>
  <cols>
    <col min="1" max="1" width="8.25390625" style="0" customWidth="1"/>
    <col min="2" max="2" width="55.625" style="0" customWidth="1"/>
    <col min="3" max="4" width="38.125" style="0" customWidth="1"/>
    <col min="5" max="5" width="31.00390625" style="0" customWidth="1"/>
    <col min="6" max="8" width="21.625" style="0" customWidth="1"/>
    <col min="9" max="9" width="18.625" style="0" customWidth="1"/>
  </cols>
  <sheetData>
    <row r="1" spans="1:8" ht="12.75">
      <c r="A1" s="4"/>
      <c r="B1" s="5"/>
      <c r="C1" s="5"/>
      <c r="D1" s="5"/>
      <c r="E1" s="2"/>
      <c r="F1" s="4"/>
      <c r="G1" s="6"/>
      <c r="H1" s="20" t="s">
        <v>3</v>
      </c>
    </row>
    <row r="2" spans="1:8" ht="12.75">
      <c r="A2" s="4"/>
      <c r="B2" s="5"/>
      <c r="C2" s="5"/>
      <c r="D2" s="5"/>
      <c r="E2" s="2"/>
      <c r="F2" s="4"/>
      <c r="G2" s="6"/>
      <c r="H2" s="20" t="s">
        <v>1</v>
      </c>
    </row>
    <row r="3" spans="1:8" ht="12.75">
      <c r="A3" s="4"/>
      <c r="B3" s="5"/>
      <c r="C3" s="5"/>
      <c r="D3" s="5"/>
      <c r="E3" s="2"/>
      <c r="F3" s="4"/>
      <c r="G3" s="6"/>
      <c r="H3" s="20" t="s">
        <v>2</v>
      </c>
    </row>
    <row r="4" spans="1:8" ht="12.75">
      <c r="A4" s="4"/>
      <c r="B4" s="5"/>
      <c r="C4" s="5"/>
      <c r="D4" s="5"/>
      <c r="E4" s="2"/>
      <c r="F4" s="4"/>
      <c r="G4" s="6"/>
      <c r="H4" s="2"/>
    </row>
    <row r="5" spans="1:8" ht="12.75">
      <c r="A5" s="4"/>
      <c r="B5" s="5"/>
      <c r="C5" s="5"/>
      <c r="D5" s="5"/>
      <c r="E5" s="2"/>
      <c r="F5" s="4"/>
      <c r="G5" s="6"/>
      <c r="H5" s="2"/>
    </row>
    <row r="6" spans="1:8" ht="15.75">
      <c r="A6" s="119" t="s">
        <v>4</v>
      </c>
      <c r="B6" s="119"/>
      <c r="C6" s="119"/>
      <c r="D6" s="119"/>
      <c r="E6" s="119"/>
      <c r="F6" s="119"/>
      <c r="G6" s="119"/>
      <c r="H6" s="119"/>
    </row>
    <row r="7" spans="1:8" ht="15.75">
      <c r="A7" s="119" t="s">
        <v>45</v>
      </c>
      <c r="B7" s="119"/>
      <c r="C7" s="119"/>
      <c r="D7" s="119"/>
      <c r="E7" s="119"/>
      <c r="F7" s="119"/>
      <c r="G7" s="119"/>
      <c r="H7" s="119"/>
    </row>
    <row r="8" spans="1:8" ht="15.75">
      <c r="A8" s="119"/>
      <c r="B8" s="119"/>
      <c r="C8" s="119"/>
      <c r="D8" s="119"/>
      <c r="E8" s="119"/>
      <c r="F8" s="119"/>
      <c r="G8" s="119"/>
      <c r="H8" s="119"/>
    </row>
    <row r="9" spans="1:8" ht="12.75">
      <c r="A9" s="4"/>
      <c r="B9" s="5"/>
      <c r="C9" s="5"/>
      <c r="D9" s="5"/>
      <c r="E9" s="2"/>
      <c r="F9" s="4"/>
      <c r="G9" s="6"/>
      <c r="H9" s="2"/>
    </row>
    <row r="10" spans="1:8" s="25" customFormat="1" ht="127.5">
      <c r="A10" s="24" t="s">
        <v>0</v>
      </c>
      <c r="B10" s="24" t="s">
        <v>7</v>
      </c>
      <c r="C10" s="24" t="s">
        <v>25</v>
      </c>
      <c r="D10" s="24" t="s">
        <v>26</v>
      </c>
      <c r="E10" s="24" t="s">
        <v>14</v>
      </c>
      <c r="F10" s="24" t="s">
        <v>13</v>
      </c>
      <c r="G10" s="22" t="s">
        <v>27</v>
      </c>
      <c r="H10" s="24" t="s">
        <v>9</v>
      </c>
    </row>
    <row r="11" spans="1:8" ht="12.75">
      <c r="A11" s="11">
        <v>1</v>
      </c>
      <c r="B11" s="11">
        <v>2</v>
      </c>
      <c r="C11" s="11">
        <v>3</v>
      </c>
      <c r="D11" s="11">
        <v>4</v>
      </c>
      <c r="E11" s="8">
        <v>5</v>
      </c>
      <c r="F11" s="11">
        <v>6</v>
      </c>
      <c r="G11" s="11">
        <v>7</v>
      </c>
      <c r="H11" s="8">
        <v>8</v>
      </c>
    </row>
    <row r="12" spans="1:8" ht="112.5" customHeight="1">
      <c r="A12" s="13" t="s">
        <v>12</v>
      </c>
      <c r="B12" s="120"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20"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20"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21">
        <v>0</v>
      </c>
      <c r="G12" s="21">
        <v>0</v>
      </c>
      <c r="H12" s="21">
        <v>0</v>
      </c>
    </row>
    <row r="13" spans="1:8" ht="112.5" customHeight="1">
      <c r="A13" s="13" t="s">
        <v>28</v>
      </c>
      <c r="B13" s="123"/>
      <c r="C13" s="123"/>
      <c r="D13" s="123"/>
      <c r="E13" s="3" t="s">
        <v>23</v>
      </c>
      <c r="F13" s="21">
        <v>0</v>
      </c>
      <c r="G13" s="21">
        <v>0</v>
      </c>
      <c r="H13" s="21">
        <v>0</v>
      </c>
    </row>
    <row r="14" spans="1:8" ht="112.5" customHeight="1">
      <c r="A14" s="13" t="s">
        <v>29</v>
      </c>
      <c r="B14" s="123"/>
      <c r="C14" s="123"/>
      <c r="D14" s="123"/>
      <c r="E14" s="19" t="s">
        <v>24</v>
      </c>
      <c r="F14" s="21">
        <v>0</v>
      </c>
      <c r="G14" s="21">
        <v>0</v>
      </c>
      <c r="H14" s="21">
        <v>0</v>
      </c>
    </row>
    <row r="15" spans="1:8" ht="112.5" customHeight="1">
      <c r="A15" s="13" t="s">
        <v>30</v>
      </c>
      <c r="B15" s="123"/>
      <c r="C15" s="123"/>
      <c r="D15" s="123"/>
      <c r="E15" s="1" t="s">
        <v>22</v>
      </c>
      <c r="F15" s="21" t="str">
        <f>сводка!G39</f>
        <v>3085 кг.</v>
      </c>
      <c r="G15" s="21">
        <f>сводка!H39</f>
        <v>403322.82</v>
      </c>
      <c r="H15" s="21" t="str">
        <f>сводка!I39</f>
        <v>котировка</v>
      </c>
    </row>
    <row r="16" spans="1:8" ht="112.5" customHeight="1">
      <c r="A16" s="13" t="s">
        <v>31</v>
      </c>
      <c r="B16" s="123"/>
      <c r="C16" s="123"/>
      <c r="D16" s="123"/>
      <c r="E16" s="1" t="s">
        <v>20</v>
      </c>
      <c r="F16" s="21">
        <v>0</v>
      </c>
      <c r="G16" s="21">
        <v>0</v>
      </c>
      <c r="H16" s="21">
        <v>0</v>
      </c>
    </row>
    <row r="17" spans="1:8" ht="112.5" customHeight="1">
      <c r="A17" s="13" t="s">
        <v>32</v>
      </c>
      <c r="B17" s="123"/>
      <c r="C17" s="123"/>
      <c r="D17" s="123"/>
      <c r="E17" s="1" t="s">
        <v>19</v>
      </c>
      <c r="F17" s="21">
        <v>0</v>
      </c>
      <c r="G17" s="21">
        <v>0</v>
      </c>
      <c r="H17" s="21">
        <v>0</v>
      </c>
    </row>
    <row r="18" spans="1:8" ht="112.5" customHeight="1">
      <c r="A18" s="13" t="s">
        <v>34</v>
      </c>
      <c r="B18" s="123"/>
      <c r="C18" s="123"/>
      <c r="D18" s="123"/>
      <c r="E18" s="19" t="s">
        <v>33</v>
      </c>
      <c r="F18" s="21">
        <v>0</v>
      </c>
      <c r="G18" s="21">
        <v>0</v>
      </c>
      <c r="H18" s="21">
        <v>0</v>
      </c>
    </row>
    <row r="19" spans="1:8" ht="112.5" customHeight="1">
      <c r="A19" s="13" t="s">
        <v>36</v>
      </c>
      <c r="B19" s="124"/>
      <c r="C19" s="124"/>
      <c r="D19" s="124"/>
      <c r="E19" s="1" t="s">
        <v>35</v>
      </c>
      <c r="F19" s="21">
        <v>0</v>
      </c>
      <c r="G19" s="21">
        <v>0</v>
      </c>
      <c r="H19" s="21">
        <v>0</v>
      </c>
    </row>
    <row r="20" spans="1:8" ht="12.75">
      <c r="A20" s="4"/>
      <c r="B20" s="5"/>
      <c r="C20" s="5"/>
      <c r="D20" s="5"/>
      <c r="E20" s="2"/>
      <c r="F20" s="4"/>
      <c r="G20" s="23">
        <f>SUM(G12:G19)</f>
        <v>403322.82</v>
      </c>
      <c r="H20" s="2"/>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20"/>
  <sheetViews>
    <sheetView zoomScalePageLayoutView="0" workbookViewId="0" topLeftCell="A1">
      <selection activeCell="A8" sqref="A8:H8"/>
    </sheetView>
  </sheetViews>
  <sheetFormatPr defaultColWidth="9.00390625" defaultRowHeight="12.75"/>
  <cols>
    <col min="1" max="1" width="8.25390625" style="0" customWidth="1"/>
    <col min="2" max="2" width="54.25390625" style="0" customWidth="1"/>
    <col min="3" max="4" width="37.375" style="0" customWidth="1"/>
    <col min="5" max="5" width="31.00390625" style="0" customWidth="1"/>
    <col min="6" max="8" width="21.625" style="0" customWidth="1"/>
    <col min="9" max="9" width="18.625" style="0" customWidth="1"/>
  </cols>
  <sheetData>
    <row r="1" spans="1:8" ht="12.75">
      <c r="A1" s="4"/>
      <c r="B1" s="5"/>
      <c r="C1" s="5"/>
      <c r="D1" s="5"/>
      <c r="E1" s="2"/>
      <c r="F1" s="4"/>
      <c r="G1" s="6"/>
      <c r="H1" s="20" t="s">
        <v>3</v>
      </c>
    </row>
    <row r="2" spans="1:8" ht="12.75">
      <c r="A2" s="4"/>
      <c r="B2" s="5"/>
      <c r="C2" s="5"/>
      <c r="D2" s="5"/>
      <c r="E2" s="2"/>
      <c r="F2" s="4"/>
      <c r="G2" s="6"/>
      <c r="H2" s="20" t="s">
        <v>1</v>
      </c>
    </row>
    <row r="3" spans="1:8" ht="12.75">
      <c r="A3" s="4"/>
      <c r="B3" s="5"/>
      <c r="C3" s="5"/>
      <c r="D3" s="5"/>
      <c r="E3" s="2"/>
      <c r="F3" s="4"/>
      <c r="G3" s="6"/>
      <c r="H3" s="20" t="s">
        <v>2</v>
      </c>
    </row>
    <row r="4" spans="1:8" ht="12.75">
      <c r="A4" s="4"/>
      <c r="B4" s="5"/>
      <c r="C4" s="5"/>
      <c r="D4" s="5"/>
      <c r="E4" s="2"/>
      <c r="F4" s="4"/>
      <c r="G4" s="6"/>
      <c r="H4" s="2"/>
    </row>
    <row r="5" spans="1:8" ht="12.75">
      <c r="A5" s="4"/>
      <c r="B5" s="5"/>
      <c r="C5" s="5"/>
      <c r="D5" s="5"/>
      <c r="E5" s="2"/>
      <c r="F5" s="4"/>
      <c r="G5" s="6"/>
      <c r="H5" s="2"/>
    </row>
    <row r="6" spans="1:8" ht="15.75">
      <c r="A6" s="119" t="s">
        <v>4</v>
      </c>
      <c r="B6" s="119"/>
      <c r="C6" s="119"/>
      <c r="D6" s="119"/>
      <c r="E6" s="119"/>
      <c r="F6" s="119"/>
      <c r="G6" s="119"/>
      <c r="H6" s="119"/>
    </row>
    <row r="7" spans="1:8" ht="15.75">
      <c r="A7" s="119" t="s">
        <v>46</v>
      </c>
      <c r="B7" s="119"/>
      <c r="C7" s="119"/>
      <c r="D7" s="119"/>
      <c r="E7" s="119"/>
      <c r="F7" s="119"/>
      <c r="G7" s="119"/>
      <c r="H7" s="119"/>
    </row>
    <row r="8" spans="1:8" ht="15.75">
      <c r="A8" s="119"/>
      <c r="B8" s="119"/>
      <c r="C8" s="119"/>
      <c r="D8" s="119"/>
      <c r="E8" s="119"/>
      <c r="F8" s="119"/>
      <c r="G8" s="119"/>
      <c r="H8" s="119"/>
    </row>
    <row r="9" spans="1:8" ht="12.75">
      <c r="A9" s="4"/>
      <c r="B9" s="5"/>
      <c r="C9" s="5"/>
      <c r="D9" s="5"/>
      <c r="E9" s="2"/>
      <c r="F9" s="4"/>
      <c r="G9" s="6"/>
      <c r="H9" s="2"/>
    </row>
    <row r="10" spans="1:8" s="25" customFormat="1" ht="127.5">
      <c r="A10" s="24" t="s">
        <v>0</v>
      </c>
      <c r="B10" s="24" t="s">
        <v>7</v>
      </c>
      <c r="C10" s="24" t="s">
        <v>25</v>
      </c>
      <c r="D10" s="24" t="s">
        <v>26</v>
      </c>
      <c r="E10" s="24" t="s">
        <v>14</v>
      </c>
      <c r="F10" s="24" t="s">
        <v>13</v>
      </c>
      <c r="G10" s="22" t="s">
        <v>27</v>
      </c>
      <c r="H10" s="24" t="s">
        <v>9</v>
      </c>
    </row>
    <row r="11" spans="1:8" ht="12.75">
      <c r="A11" s="11">
        <v>1</v>
      </c>
      <c r="B11" s="11">
        <v>2</v>
      </c>
      <c r="C11" s="11">
        <v>3</v>
      </c>
      <c r="D11" s="11">
        <v>4</v>
      </c>
      <c r="E11" s="8">
        <v>5</v>
      </c>
      <c r="F11" s="11">
        <v>6</v>
      </c>
      <c r="G11" s="11">
        <v>7</v>
      </c>
      <c r="H11" s="8">
        <v>8</v>
      </c>
    </row>
    <row r="12" spans="1:8" ht="120" customHeight="1">
      <c r="A12" s="13" t="s">
        <v>12</v>
      </c>
      <c r="B12" s="120"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20"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20"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21">
        <v>0</v>
      </c>
      <c r="G12" s="21">
        <v>0</v>
      </c>
      <c r="H12" s="21">
        <v>0</v>
      </c>
    </row>
    <row r="13" spans="1:8" ht="120" customHeight="1">
      <c r="A13" s="13" t="s">
        <v>28</v>
      </c>
      <c r="B13" s="123"/>
      <c r="C13" s="123"/>
      <c r="D13" s="123"/>
      <c r="E13" s="3" t="s">
        <v>23</v>
      </c>
      <c r="F13" s="21">
        <v>0</v>
      </c>
      <c r="G13" s="21">
        <v>0</v>
      </c>
      <c r="H13" s="21">
        <v>0</v>
      </c>
    </row>
    <row r="14" spans="1:8" ht="120" customHeight="1">
      <c r="A14" s="13" t="s">
        <v>29</v>
      </c>
      <c r="B14" s="123"/>
      <c r="C14" s="123"/>
      <c r="D14" s="123"/>
      <c r="E14" s="19" t="s">
        <v>24</v>
      </c>
      <c r="F14" s="21" t="str">
        <f>сводка!G41</f>
        <v>50 шт.</v>
      </c>
      <c r="G14" s="21">
        <f>сводка!H41</f>
        <v>0</v>
      </c>
      <c r="H14" s="21">
        <f>сводка!I41</f>
        <v>0</v>
      </c>
    </row>
    <row r="15" spans="1:8" ht="120" customHeight="1">
      <c r="A15" s="13" t="s">
        <v>30</v>
      </c>
      <c r="B15" s="123"/>
      <c r="C15" s="123"/>
      <c r="D15" s="123"/>
      <c r="E15" s="1" t="s">
        <v>22</v>
      </c>
      <c r="F15" s="21" t="str">
        <f>сводка!G40</f>
        <v>35 шт.</v>
      </c>
      <c r="G15" s="21">
        <f>сводка!H40</f>
        <v>0</v>
      </c>
      <c r="H15" s="21">
        <f>сводка!I40</f>
        <v>0</v>
      </c>
    </row>
    <row r="16" spans="1:8" ht="120" customHeight="1">
      <c r="A16" s="13" t="s">
        <v>31</v>
      </c>
      <c r="B16" s="123"/>
      <c r="C16" s="123"/>
      <c r="D16" s="123"/>
      <c r="E16" s="1" t="s">
        <v>20</v>
      </c>
      <c r="F16" s="21">
        <v>0</v>
      </c>
      <c r="G16" s="21">
        <v>0</v>
      </c>
      <c r="H16" s="21">
        <v>0</v>
      </c>
    </row>
    <row r="17" spans="1:8" ht="120" customHeight="1">
      <c r="A17" s="13" t="s">
        <v>32</v>
      </c>
      <c r="B17" s="123"/>
      <c r="C17" s="123"/>
      <c r="D17" s="123"/>
      <c r="E17" s="1" t="s">
        <v>19</v>
      </c>
      <c r="F17" s="21">
        <v>0</v>
      </c>
      <c r="G17" s="21">
        <v>0</v>
      </c>
      <c r="H17" s="21">
        <v>0</v>
      </c>
    </row>
    <row r="18" spans="1:8" ht="120" customHeight="1">
      <c r="A18" s="13" t="s">
        <v>34</v>
      </c>
      <c r="B18" s="123"/>
      <c r="C18" s="123"/>
      <c r="D18" s="123"/>
      <c r="E18" s="19" t="s">
        <v>33</v>
      </c>
      <c r="F18" s="21">
        <v>0</v>
      </c>
      <c r="G18" s="21">
        <v>0</v>
      </c>
      <c r="H18" s="21">
        <v>0</v>
      </c>
    </row>
    <row r="19" spans="1:8" ht="120" customHeight="1">
      <c r="A19" s="13" t="s">
        <v>36</v>
      </c>
      <c r="B19" s="124"/>
      <c r="C19" s="124"/>
      <c r="D19" s="124"/>
      <c r="E19" s="1" t="s">
        <v>35</v>
      </c>
      <c r="F19" s="21" t="str">
        <f>сводка!G42</f>
        <v>64 шт.</v>
      </c>
      <c r="G19" s="21">
        <f>сводка!H42</f>
        <v>0</v>
      </c>
      <c r="H19" s="21">
        <f>сводка!I42</f>
        <v>0</v>
      </c>
    </row>
    <row r="20" spans="1:8" ht="12.75">
      <c r="A20" s="4"/>
      <c r="B20" s="5"/>
      <c r="C20" s="5"/>
      <c r="D20" s="5"/>
      <c r="E20" s="2"/>
      <c r="F20" s="4"/>
      <c r="G20" s="23">
        <f>SUM(G12:G19)</f>
        <v>0</v>
      </c>
      <c r="H20" s="2"/>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20"/>
  <sheetViews>
    <sheetView zoomScalePageLayoutView="0" workbookViewId="0" topLeftCell="A1">
      <selection activeCell="A8" sqref="A8:H8"/>
    </sheetView>
  </sheetViews>
  <sheetFormatPr defaultColWidth="9.00390625" defaultRowHeight="12.75"/>
  <cols>
    <col min="1" max="1" width="8.25390625" style="0" customWidth="1"/>
    <col min="2" max="2" width="56.625" style="0" customWidth="1"/>
    <col min="3" max="4" width="39.125" style="0" customWidth="1"/>
    <col min="5" max="5" width="31.00390625" style="0" customWidth="1"/>
    <col min="6" max="7" width="21.625" style="0" customWidth="1"/>
    <col min="8" max="8" width="21.625" style="33" customWidth="1"/>
    <col min="9" max="9" width="18.625" style="0" customWidth="1"/>
  </cols>
  <sheetData>
    <row r="1" spans="1:8" ht="12.75">
      <c r="A1" s="4"/>
      <c r="B1" s="5"/>
      <c r="C1" s="5"/>
      <c r="D1" s="5"/>
      <c r="E1" s="2"/>
      <c r="F1" s="4"/>
      <c r="G1" s="6"/>
      <c r="H1" s="20" t="s">
        <v>3</v>
      </c>
    </row>
    <row r="2" spans="1:8" ht="12.75">
      <c r="A2" s="4"/>
      <c r="B2" s="5"/>
      <c r="C2" s="5"/>
      <c r="D2" s="5"/>
      <c r="E2" s="2"/>
      <c r="F2" s="4"/>
      <c r="G2" s="6"/>
      <c r="H2" s="20" t="s">
        <v>1</v>
      </c>
    </row>
    <row r="3" spans="1:8" ht="12.75">
      <c r="A3" s="4"/>
      <c r="B3" s="5"/>
      <c r="C3" s="5"/>
      <c r="D3" s="5"/>
      <c r="E3" s="2"/>
      <c r="F3" s="4"/>
      <c r="G3" s="6"/>
      <c r="H3" s="20" t="s">
        <v>2</v>
      </c>
    </row>
    <row r="4" spans="1:8" ht="12.75">
      <c r="A4" s="4"/>
      <c r="B4" s="5"/>
      <c r="C4" s="5"/>
      <c r="D4" s="5"/>
      <c r="E4" s="2"/>
      <c r="F4" s="4"/>
      <c r="G4" s="6"/>
      <c r="H4" s="2"/>
    </row>
    <row r="5" spans="1:8" ht="12.75">
      <c r="A5" s="4"/>
      <c r="B5" s="5"/>
      <c r="C5" s="5"/>
      <c r="D5" s="5"/>
      <c r="E5" s="2"/>
      <c r="F5" s="4"/>
      <c r="G5" s="6"/>
      <c r="H5" s="2"/>
    </row>
    <row r="6" spans="1:8" ht="15.75">
      <c r="A6" s="119" t="s">
        <v>4</v>
      </c>
      <c r="B6" s="119"/>
      <c r="C6" s="119"/>
      <c r="D6" s="119"/>
      <c r="E6" s="119"/>
      <c r="F6" s="119"/>
      <c r="G6" s="119"/>
      <c r="H6" s="119"/>
    </row>
    <row r="7" spans="1:8" ht="15.75">
      <c r="A7" s="119" t="s">
        <v>47</v>
      </c>
      <c r="B7" s="119"/>
      <c r="C7" s="119"/>
      <c r="D7" s="119"/>
      <c r="E7" s="119"/>
      <c r="F7" s="119"/>
      <c r="G7" s="119"/>
      <c r="H7" s="119"/>
    </row>
    <row r="8" spans="1:8" ht="15.75">
      <c r="A8" s="119"/>
      <c r="B8" s="119"/>
      <c r="C8" s="119"/>
      <c r="D8" s="119"/>
      <c r="E8" s="119"/>
      <c r="F8" s="119"/>
      <c r="G8" s="119"/>
      <c r="H8" s="119"/>
    </row>
    <row r="9" spans="1:8" ht="12.75">
      <c r="A9" s="4"/>
      <c r="B9" s="5"/>
      <c r="C9" s="5"/>
      <c r="D9" s="5"/>
      <c r="E9" s="2"/>
      <c r="F9" s="4"/>
      <c r="G9" s="6"/>
      <c r="H9" s="2"/>
    </row>
    <row r="10" spans="1:8" s="25" customFormat="1" ht="127.5">
      <c r="A10" s="24" t="s">
        <v>0</v>
      </c>
      <c r="B10" s="24" t="s">
        <v>7</v>
      </c>
      <c r="C10" s="24" t="s">
        <v>25</v>
      </c>
      <c r="D10" s="24" t="s">
        <v>26</v>
      </c>
      <c r="E10" s="24" t="s">
        <v>14</v>
      </c>
      <c r="F10" s="24" t="s">
        <v>13</v>
      </c>
      <c r="G10" s="22" t="s">
        <v>27</v>
      </c>
      <c r="H10" s="24" t="s">
        <v>9</v>
      </c>
    </row>
    <row r="11" spans="1:8" ht="12.75">
      <c r="A11" s="11">
        <v>1</v>
      </c>
      <c r="B11" s="11">
        <v>2</v>
      </c>
      <c r="C11" s="11">
        <v>3</v>
      </c>
      <c r="D11" s="11">
        <v>4</v>
      </c>
      <c r="E11" s="8">
        <v>5</v>
      </c>
      <c r="F11" s="11">
        <v>6</v>
      </c>
      <c r="G11" s="11">
        <v>7</v>
      </c>
      <c r="H11" s="8">
        <v>8</v>
      </c>
    </row>
    <row r="12" spans="1:8" ht="108.75" customHeight="1">
      <c r="A12" s="13" t="s">
        <v>12</v>
      </c>
      <c r="B12" s="120"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20"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20"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21">
        <v>0</v>
      </c>
      <c r="G12" s="21">
        <v>0</v>
      </c>
      <c r="H12" s="30">
        <v>0</v>
      </c>
    </row>
    <row r="13" spans="1:8" ht="108.75" customHeight="1">
      <c r="A13" s="13" t="s">
        <v>28</v>
      </c>
      <c r="B13" s="123"/>
      <c r="C13" s="123"/>
      <c r="D13" s="123"/>
      <c r="E13" s="3" t="s">
        <v>23</v>
      </c>
      <c r="F13" s="21">
        <v>0</v>
      </c>
      <c r="G13" s="21">
        <v>0</v>
      </c>
      <c r="H13" s="30">
        <v>0</v>
      </c>
    </row>
    <row r="14" spans="1:8" ht="108.75" customHeight="1">
      <c r="A14" s="13" t="s">
        <v>29</v>
      </c>
      <c r="B14" s="123"/>
      <c r="C14" s="123"/>
      <c r="D14" s="123"/>
      <c r="E14" s="19" t="s">
        <v>24</v>
      </c>
      <c r="F14" s="21">
        <v>0</v>
      </c>
      <c r="G14" s="21">
        <v>0</v>
      </c>
      <c r="H14" s="30">
        <v>0</v>
      </c>
    </row>
    <row r="15" spans="1:8" ht="108.75" customHeight="1">
      <c r="A15" s="13" t="s">
        <v>30</v>
      </c>
      <c r="B15" s="123"/>
      <c r="C15" s="123"/>
      <c r="D15" s="123"/>
      <c r="E15" s="1" t="s">
        <v>22</v>
      </c>
      <c r="F15" s="21" t="str">
        <f>сводка!G48</f>
        <v>60 шт.</v>
      </c>
      <c r="G15" s="21">
        <f>сводка!H48</f>
        <v>1800444</v>
      </c>
      <c r="H15" s="21" t="str">
        <f>сводка!I48</f>
        <v>котировка</v>
      </c>
    </row>
    <row r="16" spans="1:8" ht="108.75" customHeight="1">
      <c r="A16" s="13" t="s">
        <v>31</v>
      </c>
      <c r="B16" s="123"/>
      <c r="C16" s="123"/>
      <c r="D16" s="123"/>
      <c r="E16" s="1" t="s">
        <v>20</v>
      </c>
      <c r="F16" s="21">
        <v>0</v>
      </c>
      <c r="G16" s="21">
        <v>0</v>
      </c>
      <c r="H16" s="30">
        <v>0</v>
      </c>
    </row>
    <row r="17" spans="1:8" ht="108.75" customHeight="1">
      <c r="A17" s="13" t="s">
        <v>32</v>
      </c>
      <c r="B17" s="123"/>
      <c r="C17" s="123"/>
      <c r="D17" s="123"/>
      <c r="E17" s="1" t="s">
        <v>19</v>
      </c>
      <c r="F17" s="15" t="s">
        <v>51</v>
      </c>
      <c r="G17" s="21">
        <f>сводка!H45+сводка!H46</f>
        <v>2900668.92</v>
      </c>
      <c r="H17" s="30" t="s">
        <v>11</v>
      </c>
    </row>
    <row r="18" spans="1:8" ht="108.75" customHeight="1">
      <c r="A18" s="13" t="s">
        <v>34</v>
      </c>
      <c r="B18" s="123"/>
      <c r="C18" s="123"/>
      <c r="D18" s="123"/>
      <c r="E18" s="19" t="s">
        <v>33</v>
      </c>
      <c r="F18" s="32"/>
      <c r="G18" s="21">
        <v>0</v>
      </c>
      <c r="H18" s="30">
        <v>0</v>
      </c>
    </row>
    <row r="19" spans="1:8" ht="108.75" customHeight="1">
      <c r="A19" s="13" t="s">
        <v>36</v>
      </c>
      <c r="B19" s="124"/>
      <c r="C19" s="124"/>
      <c r="D19" s="124"/>
      <c r="E19" s="1" t="s">
        <v>35</v>
      </c>
      <c r="F19" s="21" t="s">
        <v>49</v>
      </c>
      <c r="G19" s="21">
        <f>сводка!H43+сводка!H44+сводка!H47</f>
        <v>4776304.88</v>
      </c>
      <c r="H19" s="30" t="s">
        <v>50</v>
      </c>
    </row>
    <row r="20" spans="1:8" ht="12.75">
      <c r="A20" s="4"/>
      <c r="B20" s="5"/>
      <c r="C20" s="5"/>
      <c r="D20" s="5"/>
      <c r="E20" s="2"/>
      <c r="F20" s="4"/>
      <c r="G20" s="23">
        <f>SUM(G12:G19)</f>
        <v>9477417.8</v>
      </c>
      <c r="H20" s="2"/>
    </row>
  </sheetData>
  <sheetProtection/>
  <mergeCells count="6">
    <mergeCell ref="A6:H6"/>
    <mergeCell ref="A7:H7"/>
    <mergeCell ref="A8:H8"/>
    <mergeCell ref="B12:B19"/>
    <mergeCell ref="C12:C19"/>
    <mergeCell ref="D12:D19"/>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24"/>
  <sheetViews>
    <sheetView zoomScalePageLayoutView="0" workbookViewId="0" topLeftCell="A1">
      <selection activeCell="A8" sqref="A8:H8"/>
    </sheetView>
  </sheetViews>
  <sheetFormatPr defaultColWidth="9.00390625" defaultRowHeight="12.75"/>
  <cols>
    <col min="1" max="1" width="8.25390625" style="0" customWidth="1"/>
    <col min="2" max="2" width="51.125" style="0" customWidth="1"/>
    <col min="3" max="4" width="40.00390625" style="0" customWidth="1"/>
    <col min="5" max="5" width="32.625" style="0" customWidth="1"/>
    <col min="6" max="8" width="21.625" style="0" customWidth="1"/>
    <col min="9" max="9" width="18.625" style="0" customWidth="1"/>
  </cols>
  <sheetData>
    <row r="1" spans="1:8" ht="12.75">
      <c r="A1" s="4"/>
      <c r="B1" s="5"/>
      <c r="C1" s="5"/>
      <c r="D1" s="5"/>
      <c r="E1" s="2"/>
      <c r="F1" s="4"/>
      <c r="G1" s="6"/>
      <c r="H1" s="20" t="s">
        <v>3</v>
      </c>
    </row>
    <row r="2" spans="1:8" ht="12.75">
      <c r="A2" s="4"/>
      <c r="B2" s="5"/>
      <c r="C2" s="5"/>
      <c r="D2" s="5"/>
      <c r="E2" s="2"/>
      <c r="F2" s="4"/>
      <c r="G2" s="6"/>
      <c r="H2" s="20" t="s">
        <v>1</v>
      </c>
    </row>
    <row r="3" spans="1:8" ht="12.75">
      <c r="A3" s="4"/>
      <c r="B3" s="5"/>
      <c r="C3" s="5"/>
      <c r="D3" s="5"/>
      <c r="E3" s="2"/>
      <c r="F3" s="4"/>
      <c r="G3" s="6"/>
      <c r="H3" s="20" t="s">
        <v>2</v>
      </c>
    </row>
    <row r="4" spans="1:8" ht="12.75">
      <c r="A4" s="4"/>
      <c r="B4" s="5"/>
      <c r="C4" s="5"/>
      <c r="D4" s="5"/>
      <c r="E4" s="2"/>
      <c r="F4" s="4"/>
      <c r="G4" s="6"/>
      <c r="H4" s="2"/>
    </row>
    <row r="5" spans="1:8" ht="12.75">
      <c r="A5" s="4"/>
      <c r="B5" s="5"/>
      <c r="C5" s="5"/>
      <c r="D5" s="5"/>
      <c r="E5" s="2"/>
      <c r="F5" s="4"/>
      <c r="G5" s="6"/>
      <c r="H5" s="2"/>
    </row>
    <row r="6" spans="1:8" ht="15.75">
      <c r="A6" s="119" t="s">
        <v>4</v>
      </c>
      <c r="B6" s="119"/>
      <c r="C6" s="119"/>
      <c r="D6" s="119"/>
      <c r="E6" s="119"/>
      <c r="F6" s="119"/>
      <c r="G6" s="119"/>
      <c r="H6" s="119"/>
    </row>
    <row r="7" spans="1:8" ht="15.75">
      <c r="A7" s="119" t="s">
        <v>48</v>
      </c>
      <c r="B7" s="119"/>
      <c r="C7" s="119"/>
      <c r="D7" s="119"/>
      <c r="E7" s="119"/>
      <c r="F7" s="119"/>
      <c r="G7" s="119"/>
      <c r="H7" s="119"/>
    </row>
    <row r="8" spans="1:8" ht="15.75">
      <c r="A8" s="119"/>
      <c r="B8" s="119"/>
      <c r="C8" s="119"/>
      <c r="D8" s="119"/>
      <c r="E8" s="119"/>
      <c r="F8" s="119"/>
      <c r="G8" s="119"/>
      <c r="H8" s="119"/>
    </row>
    <row r="9" spans="1:8" ht="12.75">
      <c r="A9" s="4"/>
      <c r="B9" s="5"/>
      <c r="C9" s="5"/>
      <c r="D9" s="5"/>
      <c r="E9" s="2"/>
      <c r="F9" s="4"/>
      <c r="G9" s="6"/>
      <c r="H9" s="2"/>
    </row>
    <row r="10" spans="1:8" s="25" customFormat="1" ht="127.5">
      <c r="A10" s="24" t="s">
        <v>0</v>
      </c>
      <c r="B10" s="24" t="s">
        <v>7</v>
      </c>
      <c r="C10" s="24" t="s">
        <v>25</v>
      </c>
      <c r="D10" s="24" t="s">
        <v>26</v>
      </c>
      <c r="E10" s="24" t="s">
        <v>14</v>
      </c>
      <c r="F10" s="24" t="s">
        <v>13</v>
      </c>
      <c r="G10" s="22" t="s">
        <v>27</v>
      </c>
      <c r="H10" s="24" t="s">
        <v>9</v>
      </c>
    </row>
    <row r="11" spans="1:8" ht="12.75">
      <c r="A11" s="11">
        <v>1</v>
      </c>
      <c r="B11" s="11">
        <v>2</v>
      </c>
      <c r="C11" s="11">
        <v>3</v>
      </c>
      <c r="D11" s="11">
        <v>4</v>
      </c>
      <c r="E11" s="8">
        <v>5</v>
      </c>
      <c r="F11" s="11">
        <v>6</v>
      </c>
      <c r="G11" s="11">
        <v>7</v>
      </c>
      <c r="H11" s="8">
        <v>8</v>
      </c>
    </row>
    <row r="12" spans="1:8" ht="124.5" customHeight="1">
      <c r="A12" s="13" t="s">
        <v>12</v>
      </c>
      <c r="B12" s="120"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20"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20"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21"/>
      <c r="G12" s="21">
        <f>октябрь!G12+ноябрь!G12+декабрь!G12</f>
        <v>0</v>
      </c>
      <c r="H12" s="21"/>
    </row>
    <row r="13" spans="1:8" ht="124.5" customHeight="1">
      <c r="A13" s="13" t="s">
        <v>28</v>
      </c>
      <c r="B13" s="123"/>
      <c r="C13" s="123"/>
      <c r="D13" s="123"/>
      <c r="E13" s="3" t="s">
        <v>23</v>
      </c>
      <c r="F13" s="21"/>
      <c r="G13" s="21">
        <f>октябрь!G13+ноябрь!G13+декабрь!G13</f>
        <v>0</v>
      </c>
      <c r="H13" s="21"/>
    </row>
    <row r="14" spans="1:8" ht="124.5" customHeight="1">
      <c r="A14" s="13" t="s">
        <v>29</v>
      </c>
      <c r="B14" s="123"/>
      <c r="C14" s="123"/>
      <c r="D14" s="123"/>
      <c r="E14" s="19" t="s">
        <v>24</v>
      </c>
      <c r="F14" s="21"/>
      <c r="G14" s="21">
        <f>октябрь!G14+ноябрь!G14+декабрь!G14</f>
        <v>0</v>
      </c>
      <c r="H14" s="21"/>
    </row>
    <row r="15" spans="1:8" ht="124.5" customHeight="1">
      <c r="A15" s="13" t="s">
        <v>30</v>
      </c>
      <c r="B15" s="123"/>
      <c r="C15" s="123"/>
      <c r="D15" s="123"/>
      <c r="E15" s="1" t="s">
        <v>22</v>
      </c>
      <c r="F15" s="21"/>
      <c r="G15" s="21">
        <f>октябрь!G15+ноябрь!G15+декабрь!G15</f>
        <v>2203766.82</v>
      </c>
      <c r="H15" s="21"/>
    </row>
    <row r="16" spans="1:8" ht="124.5" customHeight="1">
      <c r="A16" s="13" t="s">
        <v>31</v>
      </c>
      <c r="B16" s="123"/>
      <c r="C16" s="123"/>
      <c r="D16" s="123"/>
      <c r="E16" s="1" t="s">
        <v>20</v>
      </c>
      <c r="F16" s="21"/>
      <c r="G16" s="21">
        <f>октябрь!G16+ноябрь!G16+декабрь!G16</f>
        <v>0</v>
      </c>
      <c r="H16" s="21"/>
    </row>
    <row r="17" spans="1:8" ht="124.5" customHeight="1">
      <c r="A17" s="13" t="s">
        <v>32</v>
      </c>
      <c r="B17" s="123"/>
      <c r="C17" s="123"/>
      <c r="D17" s="123"/>
      <c r="E17" s="1" t="s">
        <v>19</v>
      </c>
      <c r="F17" s="21"/>
      <c r="G17" s="21">
        <f>октябрь!G17+ноябрь!G17+декабрь!G17</f>
        <v>2900668.92</v>
      </c>
      <c r="H17" s="21"/>
    </row>
    <row r="18" spans="1:8" ht="124.5" customHeight="1">
      <c r="A18" s="13" t="s">
        <v>34</v>
      </c>
      <c r="B18" s="123"/>
      <c r="C18" s="123"/>
      <c r="D18" s="123"/>
      <c r="E18" s="19" t="s">
        <v>33</v>
      </c>
      <c r="F18" s="21"/>
      <c r="G18" s="21">
        <f>октябрь!G18+ноябрь!G18+декабрь!G18</f>
        <v>0</v>
      </c>
      <c r="H18" s="21"/>
    </row>
    <row r="19" spans="1:8" ht="164.25" customHeight="1">
      <c r="A19" s="13" t="s">
        <v>36</v>
      </c>
      <c r="B19" s="124"/>
      <c r="C19" s="124"/>
      <c r="D19" s="124"/>
      <c r="E19" s="1" t="s">
        <v>35</v>
      </c>
      <c r="F19" s="21"/>
      <c r="G19" s="21">
        <f>октябрь!G19+ноябрь!G19+декабрь!G19</f>
        <v>4776304.88</v>
      </c>
      <c r="H19" s="21"/>
    </row>
    <row r="20" spans="1:8" ht="12.75">
      <c r="A20" s="4"/>
      <c r="B20" s="5"/>
      <c r="C20" s="5"/>
      <c r="D20" s="5"/>
      <c r="E20" s="2"/>
      <c r="F20" s="4"/>
      <c r="G20" s="23">
        <f>SUM(G12:G19)</f>
        <v>9880740.620000001</v>
      </c>
      <c r="H20" s="2"/>
    </row>
    <row r="23" ht="12.75">
      <c r="G23" s="26"/>
    </row>
    <row r="24" ht="12.75">
      <c r="G24" s="26"/>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24"/>
  <sheetViews>
    <sheetView zoomScalePageLayoutView="0" workbookViewId="0" topLeftCell="A1">
      <selection activeCell="B12" sqref="B12:B19"/>
    </sheetView>
  </sheetViews>
  <sheetFormatPr defaultColWidth="9.00390625" defaultRowHeight="12.75"/>
  <cols>
    <col min="1" max="1" width="8.25390625" style="0" customWidth="1"/>
    <col min="2" max="2" width="59.25390625" style="35" customWidth="1"/>
    <col min="3" max="4" width="40.125" style="35" customWidth="1"/>
    <col min="5" max="5" width="32.625" style="0" customWidth="1"/>
    <col min="6" max="8" width="21.625" style="0" customWidth="1"/>
    <col min="9" max="9" width="18.625" style="0" customWidth="1"/>
  </cols>
  <sheetData>
    <row r="1" spans="1:8" ht="12.75">
      <c r="A1" s="4"/>
      <c r="B1" s="5"/>
      <c r="C1" s="5"/>
      <c r="D1" s="5"/>
      <c r="E1" s="2"/>
      <c r="F1" s="4"/>
      <c r="G1" s="6"/>
      <c r="H1" s="20" t="s">
        <v>3</v>
      </c>
    </row>
    <row r="2" spans="1:8" ht="12.75">
      <c r="A2" s="4"/>
      <c r="B2" s="5"/>
      <c r="C2" s="5"/>
      <c r="D2" s="5"/>
      <c r="E2" s="2"/>
      <c r="F2" s="4"/>
      <c r="G2" s="6"/>
      <c r="H2" s="20" t="s">
        <v>1</v>
      </c>
    </row>
    <row r="3" spans="1:8" ht="12.75">
      <c r="A3" s="4"/>
      <c r="B3" s="5"/>
      <c r="C3" s="5"/>
      <c r="D3" s="5"/>
      <c r="E3" s="2"/>
      <c r="F3" s="4"/>
      <c r="G3" s="6"/>
      <c r="H3" s="20" t="s">
        <v>2</v>
      </c>
    </row>
    <row r="4" spans="1:8" ht="12.75">
      <c r="A4" s="4"/>
      <c r="B4" s="5"/>
      <c r="C4" s="5"/>
      <c r="D4" s="5"/>
      <c r="E4" s="2"/>
      <c r="F4" s="4"/>
      <c r="G4" s="6"/>
      <c r="H4" s="2"/>
    </row>
    <row r="5" spans="1:8" ht="12.75">
      <c r="A5" s="4"/>
      <c r="B5" s="5"/>
      <c r="C5" s="5"/>
      <c r="D5" s="5"/>
      <c r="E5" s="2"/>
      <c r="F5" s="4"/>
      <c r="G5" s="6"/>
      <c r="H5" s="2"/>
    </row>
    <row r="6" spans="1:8" ht="15.75">
      <c r="A6" s="119" t="s">
        <v>4</v>
      </c>
      <c r="B6" s="119"/>
      <c r="C6" s="119"/>
      <c r="D6" s="119"/>
      <c r="E6" s="119"/>
      <c r="F6" s="119"/>
      <c r="G6" s="119"/>
      <c r="H6" s="119"/>
    </row>
    <row r="7" spans="1:8" ht="15.75">
      <c r="A7" s="119" t="s">
        <v>52</v>
      </c>
      <c r="B7" s="119"/>
      <c r="C7" s="119"/>
      <c r="D7" s="119"/>
      <c r="E7" s="119"/>
      <c r="F7" s="119"/>
      <c r="G7" s="119"/>
      <c r="H7" s="119"/>
    </row>
    <row r="8" spans="1:8" ht="15.75">
      <c r="A8" s="119"/>
      <c r="B8" s="119"/>
      <c r="C8" s="119"/>
      <c r="D8" s="119"/>
      <c r="E8" s="119"/>
      <c r="F8" s="119"/>
      <c r="G8" s="119"/>
      <c r="H8" s="119"/>
    </row>
    <row r="9" spans="1:8" ht="12.75">
      <c r="A9" s="4"/>
      <c r="B9" s="5"/>
      <c r="C9" s="5"/>
      <c r="D9" s="5"/>
      <c r="E9" s="2"/>
      <c r="F9" s="4"/>
      <c r="G9" s="6"/>
      <c r="H9" s="2"/>
    </row>
    <row r="10" spans="1:8" s="25" customFormat="1" ht="127.5">
      <c r="A10" s="24" t="s">
        <v>0</v>
      </c>
      <c r="B10" s="24" t="s">
        <v>7</v>
      </c>
      <c r="C10" s="24" t="s">
        <v>25</v>
      </c>
      <c r="D10" s="24" t="s">
        <v>26</v>
      </c>
      <c r="E10" s="24" t="s">
        <v>14</v>
      </c>
      <c r="F10" s="24" t="s">
        <v>13</v>
      </c>
      <c r="G10" s="22" t="s">
        <v>27</v>
      </c>
      <c r="H10" s="24" t="s">
        <v>9</v>
      </c>
    </row>
    <row r="11" spans="1:8" ht="12.75">
      <c r="A11" s="11">
        <v>1</v>
      </c>
      <c r="B11" s="11">
        <v>2</v>
      </c>
      <c r="C11" s="11">
        <v>3</v>
      </c>
      <c r="D11" s="11">
        <v>4</v>
      </c>
      <c r="E11" s="8">
        <v>5</v>
      </c>
      <c r="F11" s="11">
        <v>6</v>
      </c>
      <c r="G11" s="11">
        <v>7</v>
      </c>
      <c r="H11" s="8">
        <v>8</v>
      </c>
    </row>
    <row r="12" spans="1:8" ht="109.5" customHeight="1">
      <c r="A12" s="13" t="s">
        <v>12</v>
      </c>
      <c r="B12" s="120"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20"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20"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21"/>
      <c r="G12" s="21">
        <f>'1 квартал'!G12+'2 квартал'!G12+'3 квартал'!G12+'4 квартал'!G12</f>
        <v>14851654.129999999</v>
      </c>
      <c r="H12" s="21"/>
    </row>
    <row r="13" spans="1:8" ht="109.5" customHeight="1">
      <c r="A13" s="13" t="s">
        <v>28</v>
      </c>
      <c r="B13" s="123"/>
      <c r="C13" s="123"/>
      <c r="D13" s="123"/>
      <c r="E13" s="3" t="s">
        <v>23</v>
      </c>
      <c r="F13" s="21"/>
      <c r="G13" s="21">
        <f>'1 квартал'!G13+'2 квартал'!G13+'3 квартал'!G13+'4 квартал'!G13</f>
        <v>1123617.01</v>
      </c>
      <c r="H13" s="21"/>
    </row>
    <row r="14" spans="1:8" ht="109.5" customHeight="1">
      <c r="A14" s="13" t="s">
        <v>29</v>
      </c>
      <c r="B14" s="123"/>
      <c r="C14" s="123"/>
      <c r="D14" s="123"/>
      <c r="E14" s="19" t="s">
        <v>24</v>
      </c>
      <c r="F14" s="21"/>
      <c r="G14" s="21">
        <f>'1 квартал'!G14+'2 квартал'!G14+'3 квартал'!G14+'4 квартал'!G14</f>
        <v>15275704.44</v>
      </c>
      <c r="H14" s="21"/>
    </row>
    <row r="15" spans="1:8" ht="109.5" customHeight="1">
      <c r="A15" s="13" t="s">
        <v>30</v>
      </c>
      <c r="B15" s="123"/>
      <c r="C15" s="123"/>
      <c r="D15" s="123"/>
      <c r="E15" s="1" t="s">
        <v>22</v>
      </c>
      <c r="F15" s="21"/>
      <c r="G15" s="21">
        <f>'1 квартал'!G15+'2 квартал'!G15+'3 квартал'!G15+'4 квартал'!G15</f>
        <v>66234442.807</v>
      </c>
      <c r="H15" s="21"/>
    </row>
    <row r="16" spans="1:8" ht="109.5" customHeight="1">
      <c r="A16" s="13" t="s">
        <v>31</v>
      </c>
      <c r="B16" s="123"/>
      <c r="C16" s="123"/>
      <c r="D16" s="123"/>
      <c r="E16" s="1" t="s">
        <v>20</v>
      </c>
      <c r="F16" s="21"/>
      <c r="G16" s="21">
        <f>'1 квартал'!G16+'2 квартал'!G16+'3 квартал'!G16+'4 квартал'!G16</f>
        <v>3272087.8999999994</v>
      </c>
      <c r="H16" s="21"/>
    </row>
    <row r="17" spans="1:8" ht="109.5" customHeight="1">
      <c r="A17" s="13" t="s">
        <v>32</v>
      </c>
      <c r="B17" s="123"/>
      <c r="C17" s="123"/>
      <c r="D17" s="123"/>
      <c r="E17" s="1" t="s">
        <v>19</v>
      </c>
      <c r="F17" s="21"/>
      <c r="G17" s="21">
        <f>'1 квартал'!G17+'2 квартал'!G17+'3 квартал'!G17+'4 квартал'!G17</f>
        <v>37235426.9362</v>
      </c>
      <c r="H17" s="21"/>
    </row>
    <row r="18" spans="1:8" ht="109.5" customHeight="1">
      <c r="A18" s="13" t="s">
        <v>34</v>
      </c>
      <c r="B18" s="123"/>
      <c r="C18" s="123"/>
      <c r="D18" s="123"/>
      <c r="E18" s="19" t="s">
        <v>33</v>
      </c>
      <c r="F18" s="21"/>
      <c r="G18" s="21">
        <f>'1 квартал'!G18+'2 квартал'!G18+'3 квартал'!G18+'4 квартал'!G18</f>
        <v>29328209.170999996</v>
      </c>
      <c r="H18" s="21"/>
    </row>
    <row r="19" spans="1:8" ht="109.5" customHeight="1">
      <c r="A19" s="13" t="s">
        <v>36</v>
      </c>
      <c r="B19" s="124"/>
      <c r="C19" s="124"/>
      <c r="D19" s="124"/>
      <c r="E19" s="1" t="s">
        <v>35</v>
      </c>
      <c r="F19" s="21"/>
      <c r="G19" s="21">
        <f>'1 квартал'!G19+'2 квартал'!G19+'3 квартал'!G19+'4 квартал'!G19</f>
        <v>47474604.89000001</v>
      </c>
      <c r="H19" s="21"/>
    </row>
    <row r="20" spans="1:8" ht="12.75">
      <c r="A20" s="4"/>
      <c r="B20" s="5"/>
      <c r="C20" s="5"/>
      <c r="D20" s="5"/>
      <c r="E20" s="2"/>
      <c r="F20" s="4"/>
      <c r="G20" s="23">
        <f>SUM(G12:G19)</f>
        <v>214795747.2842</v>
      </c>
      <c r="H20" s="2"/>
    </row>
    <row r="22" ht="12.75">
      <c r="G22" s="34"/>
    </row>
    <row r="23" ht="12.75">
      <c r="G23" s="26"/>
    </row>
    <row r="24" ht="12.75">
      <c r="G24" s="26"/>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X122"/>
  <sheetViews>
    <sheetView zoomScaleSheetLayoutView="100" zoomScalePageLayoutView="0" workbookViewId="0" topLeftCell="A7">
      <selection activeCell="J128" sqref="J128"/>
    </sheetView>
  </sheetViews>
  <sheetFormatPr defaultColWidth="9.00390625" defaultRowHeight="12.75" outlineLevelCol="1"/>
  <cols>
    <col min="1" max="1" width="8.625" style="4" customWidth="1"/>
    <col min="2" max="2" width="12.625" style="5" customWidth="1"/>
    <col min="3" max="4" width="10.75390625" style="5" customWidth="1"/>
    <col min="5" max="6" width="30.75390625" style="2" customWidth="1"/>
    <col min="7" max="7" width="21.25390625" style="4" customWidth="1"/>
    <col min="8" max="8" width="21.25390625" style="6" customWidth="1"/>
    <col min="9" max="9" width="21.25390625" style="4" customWidth="1"/>
    <col min="10" max="10" width="21.25390625" style="64" customWidth="1"/>
    <col min="11" max="11" width="49.125" style="36" customWidth="1"/>
    <col min="12" max="12" width="17.875" style="37" customWidth="1"/>
    <col min="13" max="13" width="40.00390625" style="38" customWidth="1" outlineLevel="1"/>
    <col min="14" max="14" width="21.375" style="38" customWidth="1" outlineLevel="1"/>
    <col min="15" max="15" width="13.375" style="36" customWidth="1"/>
    <col min="16" max="16" width="15.375" style="39" customWidth="1"/>
    <col min="17" max="17" width="15.25390625" style="39" customWidth="1"/>
    <col min="18" max="18" width="12.00390625" style="39" customWidth="1"/>
    <col min="19" max="19" width="15.25390625" style="39" customWidth="1"/>
    <col min="20" max="20" width="9.25390625" style="39" bestFit="1" customWidth="1"/>
    <col min="21" max="21" width="15.625" style="39" customWidth="1"/>
    <col min="22" max="22" width="9.25390625" style="39" bestFit="1" customWidth="1"/>
    <col min="23" max="23" width="17.00390625" style="5" customWidth="1"/>
    <col min="24" max="16384" width="9.125" style="5" customWidth="1"/>
  </cols>
  <sheetData>
    <row r="1" ht="12.75">
      <c r="I1" s="4" t="s">
        <v>3</v>
      </c>
    </row>
    <row r="2" ht="12.75">
      <c r="I2" s="4" t="s">
        <v>1</v>
      </c>
    </row>
    <row r="3" ht="12.75">
      <c r="I3" s="4" t="s">
        <v>2</v>
      </c>
    </row>
    <row r="4" ht="15.75">
      <c r="W4" s="7"/>
    </row>
    <row r="5" ht="15.75">
      <c r="W5" s="7"/>
    </row>
    <row r="6" spans="1:23" s="7" customFormat="1" ht="15.75">
      <c r="A6" s="119" t="s">
        <v>4</v>
      </c>
      <c r="B6" s="119"/>
      <c r="C6" s="119"/>
      <c r="D6" s="119"/>
      <c r="E6" s="119"/>
      <c r="F6" s="119"/>
      <c r="G6" s="119"/>
      <c r="H6" s="119"/>
      <c r="I6" s="119"/>
      <c r="J6" s="65"/>
      <c r="K6" s="36"/>
      <c r="L6" s="37"/>
      <c r="M6" s="38"/>
      <c r="N6" s="38"/>
      <c r="O6" s="36"/>
      <c r="P6" s="39"/>
      <c r="Q6" s="39"/>
      <c r="R6" s="39"/>
      <c r="S6" s="39"/>
      <c r="T6" s="39"/>
      <c r="U6" s="39"/>
      <c r="V6" s="39"/>
      <c r="W6" s="5"/>
    </row>
    <row r="7" spans="1:23" s="7" customFormat="1" ht="15.75">
      <c r="A7" s="129" t="s">
        <v>192</v>
      </c>
      <c r="B7" s="129"/>
      <c r="C7" s="129"/>
      <c r="D7" s="129"/>
      <c r="E7" s="129"/>
      <c r="F7" s="129"/>
      <c r="G7" s="129"/>
      <c r="H7" s="129"/>
      <c r="I7" s="129"/>
      <c r="J7" s="66"/>
      <c r="K7" s="36"/>
      <c r="L7" s="37"/>
      <c r="M7" s="38"/>
      <c r="N7" s="38"/>
      <c r="O7" s="36"/>
      <c r="P7" s="39"/>
      <c r="Q7" s="39"/>
      <c r="R7" s="39"/>
      <c r="S7" s="39"/>
      <c r="T7" s="39"/>
      <c r="U7" s="39"/>
      <c r="V7" s="39"/>
      <c r="W7" s="5"/>
    </row>
    <row r="8" spans="1:23" s="7" customFormat="1" ht="15.75">
      <c r="A8" s="119"/>
      <c r="B8" s="119"/>
      <c r="C8" s="119"/>
      <c r="D8" s="119"/>
      <c r="E8" s="119"/>
      <c r="F8" s="119"/>
      <c r="G8" s="119"/>
      <c r="H8" s="119"/>
      <c r="I8" s="119"/>
      <c r="J8" s="65"/>
      <c r="K8" s="36"/>
      <c r="L8" s="37"/>
      <c r="M8" s="38"/>
      <c r="N8" s="38"/>
      <c r="O8" s="36"/>
      <c r="P8" s="39"/>
      <c r="Q8" s="39"/>
      <c r="R8" s="39"/>
      <c r="S8" s="39"/>
      <c r="T8" s="39"/>
      <c r="U8" s="39"/>
      <c r="V8" s="39"/>
      <c r="W8" s="5"/>
    </row>
    <row r="9" ht="15.75">
      <c r="W9" s="7"/>
    </row>
    <row r="10" spans="1:23" s="10" customFormat="1" ht="114.75">
      <c r="A10" s="8" t="s">
        <v>0</v>
      </c>
      <c r="B10" s="8" t="s">
        <v>7</v>
      </c>
      <c r="C10" s="8" t="s">
        <v>5</v>
      </c>
      <c r="D10" s="8" t="s">
        <v>6</v>
      </c>
      <c r="E10" s="8" t="s">
        <v>14</v>
      </c>
      <c r="F10" s="8"/>
      <c r="G10" s="8" t="s">
        <v>13</v>
      </c>
      <c r="H10" s="9" t="s">
        <v>8</v>
      </c>
      <c r="I10" s="8" t="s">
        <v>9</v>
      </c>
      <c r="J10" s="61"/>
      <c r="K10" s="40"/>
      <c r="L10" s="40"/>
      <c r="M10" s="41"/>
      <c r="N10" s="41"/>
      <c r="O10" s="42" t="s">
        <v>53</v>
      </c>
      <c r="P10" s="42" t="s">
        <v>54</v>
      </c>
      <c r="Q10" s="41" t="s">
        <v>38</v>
      </c>
      <c r="R10" s="41" t="s">
        <v>55</v>
      </c>
      <c r="S10" s="41" t="s">
        <v>56</v>
      </c>
      <c r="T10" s="41" t="s">
        <v>57</v>
      </c>
      <c r="U10" s="41" t="s">
        <v>58</v>
      </c>
      <c r="V10" s="41" t="s">
        <v>59</v>
      </c>
      <c r="W10" s="41"/>
    </row>
    <row r="11" spans="1:23" s="12" customFormat="1" ht="12.75">
      <c r="A11" s="11">
        <v>1</v>
      </c>
      <c r="B11" s="11">
        <v>2</v>
      </c>
      <c r="C11" s="11">
        <v>3</v>
      </c>
      <c r="D11" s="11">
        <v>4</v>
      </c>
      <c r="E11" s="8">
        <v>5</v>
      </c>
      <c r="F11" s="8"/>
      <c r="G11" s="11">
        <v>6</v>
      </c>
      <c r="H11" s="11">
        <v>7</v>
      </c>
      <c r="I11" s="11">
        <v>8</v>
      </c>
      <c r="J11" s="62"/>
      <c r="K11" s="43"/>
      <c r="L11" s="40"/>
      <c r="M11" s="44"/>
      <c r="N11" s="44"/>
      <c r="O11" s="43"/>
      <c r="P11" s="45"/>
      <c r="Q11" s="45"/>
      <c r="R11" s="45"/>
      <c r="S11" s="45"/>
      <c r="T11" s="45"/>
      <c r="U11" s="45"/>
      <c r="V11" s="45"/>
      <c r="W11" s="45"/>
    </row>
    <row r="12" spans="1:23" ht="38.25">
      <c r="A12" s="13" t="s">
        <v>12</v>
      </c>
      <c r="B12" s="14"/>
      <c r="C12" s="15"/>
      <c r="D12" s="58"/>
      <c r="E12" s="19"/>
      <c r="F12" s="17" t="str">
        <f>M12</f>
        <v>поставка экскаватора HITACHI ZX180LCN-5G с дополнительным оборудованием</v>
      </c>
      <c r="G12" s="15" t="s">
        <v>196</v>
      </c>
      <c r="H12" s="16">
        <f>Q12</f>
        <v>0</v>
      </c>
      <c r="I12" s="17"/>
      <c r="J12" s="67" t="s">
        <v>193</v>
      </c>
      <c r="K12" s="130" t="s">
        <v>60</v>
      </c>
      <c r="L12" s="125" t="s">
        <v>61</v>
      </c>
      <c r="M12" s="46" t="s">
        <v>62</v>
      </c>
      <c r="N12" s="47">
        <v>9164394.28</v>
      </c>
      <c r="O12" s="48">
        <v>0</v>
      </c>
      <c r="P12" s="48">
        <v>8500000</v>
      </c>
      <c r="Q12" s="48">
        <v>0</v>
      </c>
      <c r="R12" s="48">
        <v>0</v>
      </c>
      <c r="S12" s="48">
        <v>0</v>
      </c>
      <c r="T12" s="48">
        <v>0</v>
      </c>
      <c r="U12" s="48">
        <v>0</v>
      </c>
      <c r="V12" s="48">
        <v>0</v>
      </c>
      <c r="W12" s="49">
        <f>N12-SUM(O12:V12)</f>
        <v>664394.2799999993</v>
      </c>
    </row>
    <row r="13" spans="1:23" ht="12.75">
      <c r="A13" s="13">
        <f>A12+1</f>
        <v>2</v>
      </c>
      <c r="B13" s="18"/>
      <c r="C13" s="18"/>
      <c r="D13" s="59"/>
      <c r="E13" s="19"/>
      <c r="F13" s="17" t="str">
        <f aca="true" t="shared" si="0" ref="F13:F67">M13</f>
        <v>дополнительное оборудование</v>
      </c>
      <c r="G13" s="15"/>
      <c r="H13" s="16">
        <f aca="true" t="shared" si="1" ref="H13:H67">Q13</f>
        <v>0</v>
      </c>
      <c r="I13" s="15"/>
      <c r="J13" s="67" t="s">
        <v>193</v>
      </c>
      <c r="K13" s="131"/>
      <c r="L13" s="126"/>
      <c r="M13" s="46" t="s">
        <v>63</v>
      </c>
      <c r="N13" s="50"/>
      <c r="O13" s="48"/>
      <c r="P13" s="48">
        <v>664394.28</v>
      </c>
      <c r="Q13" s="48"/>
      <c r="R13" s="48"/>
      <c r="S13" s="48"/>
      <c r="T13" s="48"/>
      <c r="U13" s="48"/>
      <c r="V13" s="48"/>
      <c r="W13" s="49">
        <f>N13-SUM(O13:V13)</f>
        <v>-664394.28</v>
      </c>
    </row>
    <row r="14" spans="1:23" ht="38.25">
      <c r="A14" s="13">
        <f aca="true" t="shared" si="2" ref="A14:A25">A13+1</f>
        <v>3</v>
      </c>
      <c r="B14" s="18"/>
      <c r="C14" s="18"/>
      <c r="D14" s="59"/>
      <c r="E14" s="1" t="s">
        <v>35</v>
      </c>
      <c r="F14" s="17" t="str">
        <f t="shared" si="0"/>
        <v>Поставка легкового автотранспорта для нужд УГРС АО "Сахатранснефтегаз"</v>
      </c>
      <c r="G14" s="15" t="s">
        <v>196</v>
      </c>
      <c r="H14" s="16">
        <f t="shared" si="1"/>
        <v>1224000.01</v>
      </c>
      <c r="I14" s="15" t="s">
        <v>18</v>
      </c>
      <c r="J14" s="67" t="s">
        <v>193</v>
      </c>
      <c r="K14" s="63" t="s">
        <v>17</v>
      </c>
      <c r="L14" s="46" t="s">
        <v>64</v>
      </c>
      <c r="M14" s="46" t="s">
        <v>65</v>
      </c>
      <c r="N14" s="51">
        <v>1224000.01</v>
      </c>
      <c r="O14" s="48"/>
      <c r="P14" s="48"/>
      <c r="Q14" s="48">
        <f>N14</f>
        <v>1224000.01</v>
      </c>
      <c r="R14" s="48"/>
      <c r="S14" s="48"/>
      <c r="T14" s="48"/>
      <c r="U14" s="48"/>
      <c r="V14" s="48"/>
      <c r="W14" s="49">
        <f aca="true" t="shared" si="3" ref="W14:W27">N14-SUM(O14:V14)</f>
        <v>0</v>
      </c>
    </row>
    <row r="15" spans="1:23" ht="102">
      <c r="A15" s="13">
        <f t="shared" si="2"/>
        <v>4</v>
      </c>
      <c r="B15" s="18"/>
      <c r="C15" s="18"/>
      <c r="D15" s="59"/>
      <c r="E15" s="19" t="s">
        <v>22</v>
      </c>
      <c r="F15" s="17" t="str">
        <f t="shared" si="0"/>
        <v>Поставка соединительных деталей для подразделений АО «Сахатранснефтегаз» на 2017 год.</v>
      </c>
      <c r="G15" s="15" t="s">
        <v>217</v>
      </c>
      <c r="H15" s="16">
        <f t="shared" si="1"/>
        <v>1111339.6232</v>
      </c>
      <c r="I15" s="15" t="s">
        <v>18</v>
      </c>
      <c r="J15" s="67" t="s">
        <v>193</v>
      </c>
      <c r="K15" s="63" t="s">
        <v>66</v>
      </c>
      <c r="L15" s="46" t="s">
        <v>67</v>
      </c>
      <c r="M15" s="46" t="s">
        <v>68</v>
      </c>
      <c r="N15" s="51">
        <v>2541276.32</v>
      </c>
      <c r="O15" s="48">
        <f>1142597.38*1.18</f>
        <v>1348264.9083999998</v>
      </c>
      <c r="P15" s="48"/>
      <c r="Q15" s="48">
        <f>941813.24*1.18</f>
        <v>1111339.6232</v>
      </c>
      <c r="R15" s="48"/>
      <c r="S15" s="48">
        <f>69223.37*1.18</f>
        <v>81683.57659999999</v>
      </c>
      <c r="T15" s="48"/>
      <c r="U15" s="48"/>
      <c r="V15" s="48"/>
      <c r="W15" s="49">
        <f t="shared" si="3"/>
        <v>-11.788199999835342</v>
      </c>
    </row>
    <row r="16" spans="1:23" ht="102">
      <c r="A16" s="13">
        <f t="shared" si="2"/>
        <v>5</v>
      </c>
      <c r="B16" s="18"/>
      <c r="C16" s="18"/>
      <c r="D16" s="59"/>
      <c r="E16" s="19" t="s">
        <v>22</v>
      </c>
      <c r="F16" s="17" t="str">
        <f t="shared" si="0"/>
        <v>Поставка сварочных материалов для подразделений АО «Сахатранснефтегаз» на 2017 год.</v>
      </c>
      <c r="G16" s="15" t="s">
        <v>218</v>
      </c>
      <c r="H16" s="16">
        <f t="shared" si="1"/>
        <v>2380923.17</v>
      </c>
      <c r="I16" s="15" t="s">
        <v>18</v>
      </c>
      <c r="J16" s="67" t="s">
        <v>193</v>
      </c>
      <c r="K16" s="63" t="s">
        <v>69</v>
      </c>
      <c r="L16" s="46" t="s">
        <v>70</v>
      </c>
      <c r="M16" s="46" t="s">
        <v>71</v>
      </c>
      <c r="N16" s="51">
        <v>3246920.88</v>
      </c>
      <c r="O16" s="48">
        <v>206658.59199999998</v>
      </c>
      <c r="P16" s="48">
        <v>593307.068</v>
      </c>
      <c r="Q16" s="48">
        <v>2380923.17</v>
      </c>
      <c r="R16" s="48"/>
      <c r="S16" s="48">
        <v>66031.62</v>
      </c>
      <c r="T16" s="48"/>
      <c r="U16" s="48"/>
      <c r="V16" s="48"/>
      <c r="W16" s="49">
        <f t="shared" si="3"/>
        <v>0.4299999997019768</v>
      </c>
    </row>
    <row r="17" spans="1:23" ht="25.5">
      <c r="A17" s="13">
        <f>A18+1</f>
        <v>7</v>
      </c>
      <c r="B17" s="18"/>
      <c r="C17" s="18"/>
      <c r="D17" s="59"/>
      <c r="E17" s="19"/>
      <c r="F17" s="17" t="str">
        <f t="shared" si="0"/>
        <v>поставка запасных часте на спецтехнику ТРЭКОЛ, ГАЗ, ЗЗГТ</v>
      </c>
      <c r="G17" s="15" t="s">
        <v>197</v>
      </c>
      <c r="H17" s="16">
        <f t="shared" si="1"/>
        <v>0</v>
      </c>
      <c r="I17" s="15"/>
      <c r="J17" s="67" t="s">
        <v>193</v>
      </c>
      <c r="K17" s="63" t="s">
        <v>41</v>
      </c>
      <c r="L17" s="46" t="s">
        <v>72</v>
      </c>
      <c r="M17" s="46" t="s">
        <v>73</v>
      </c>
      <c r="N17" s="51">
        <v>3627976.08</v>
      </c>
      <c r="O17" s="48">
        <v>3627976.08</v>
      </c>
      <c r="P17" s="48">
        <v>0</v>
      </c>
      <c r="Q17" s="48">
        <v>0</v>
      </c>
      <c r="R17" s="48">
        <v>0</v>
      </c>
      <c r="S17" s="48">
        <v>0</v>
      </c>
      <c r="T17" s="48">
        <v>0</v>
      </c>
      <c r="U17" s="48">
        <v>0</v>
      </c>
      <c r="V17" s="48">
        <v>0</v>
      </c>
      <c r="W17" s="49">
        <f t="shared" si="3"/>
        <v>0</v>
      </c>
    </row>
    <row r="18" spans="1:23" ht="76.5">
      <c r="A18" s="13">
        <f>A16+1</f>
        <v>6</v>
      </c>
      <c r="B18" s="18"/>
      <c r="C18" s="18"/>
      <c r="D18" s="59"/>
      <c r="E18" s="19"/>
      <c r="F18" s="17" t="str">
        <f t="shared" si="0"/>
        <v>Поставка запорной и регулирующей арматуры для выполнения строительно-монтажных работ по объекту строительства «МГ Вилюйск – Верневилюйск. Резервная нитка на переходе через р. Чыбыда»</v>
      </c>
      <c r="G18" s="15" t="s">
        <v>198</v>
      </c>
      <c r="H18" s="16">
        <f t="shared" si="1"/>
        <v>0</v>
      </c>
      <c r="I18" s="15"/>
      <c r="J18" s="67" t="s">
        <v>193</v>
      </c>
      <c r="K18" s="63" t="s">
        <v>15</v>
      </c>
      <c r="L18" s="46" t="s">
        <v>74</v>
      </c>
      <c r="M18" s="46" t="s">
        <v>75</v>
      </c>
      <c r="N18" s="51">
        <v>2781567</v>
      </c>
      <c r="O18" s="48">
        <v>2781567</v>
      </c>
      <c r="P18" s="48"/>
      <c r="Q18" s="48"/>
      <c r="R18" s="48"/>
      <c r="S18" s="48"/>
      <c r="T18" s="48"/>
      <c r="U18" s="48"/>
      <c r="V18" s="48"/>
      <c r="W18" s="49">
        <f t="shared" si="3"/>
        <v>0</v>
      </c>
    </row>
    <row r="19" spans="1:23" ht="63.75">
      <c r="A19" s="13">
        <f>A17+1</f>
        <v>8</v>
      </c>
      <c r="B19" s="18"/>
      <c r="C19" s="18"/>
      <c r="D19" s="59"/>
      <c r="E19" s="19"/>
      <c r="F19" s="17" t="str">
        <f t="shared" si="0"/>
        <v>Поставка запорной и регулирующей арматуры для подразделения УДиТГ АО «Сахатранснефтегаз» на 2017 год. (производства ООО "ТюменНИИгипрогаз")</v>
      </c>
      <c r="G19" s="15" t="s">
        <v>199</v>
      </c>
      <c r="H19" s="16">
        <f t="shared" si="1"/>
        <v>0</v>
      </c>
      <c r="I19" s="17"/>
      <c r="J19" s="67" t="s">
        <v>193</v>
      </c>
      <c r="K19" s="63" t="s">
        <v>76</v>
      </c>
      <c r="L19" s="46" t="s">
        <v>77</v>
      </c>
      <c r="M19" s="46" t="s">
        <v>78</v>
      </c>
      <c r="N19" s="51">
        <v>2749164</v>
      </c>
      <c r="O19" s="48">
        <f>N19</f>
        <v>2749164</v>
      </c>
      <c r="P19" s="48"/>
      <c r="Q19" s="48"/>
      <c r="R19" s="48"/>
      <c r="S19" s="48"/>
      <c r="T19" s="48"/>
      <c r="U19" s="48"/>
      <c r="V19" s="48"/>
      <c r="W19" s="49">
        <f t="shared" si="3"/>
        <v>0</v>
      </c>
    </row>
    <row r="20" spans="1:23" ht="51">
      <c r="A20" s="13">
        <f t="shared" si="2"/>
        <v>9</v>
      </c>
      <c r="B20" s="18"/>
      <c r="C20" s="18"/>
      <c r="D20" s="59"/>
      <c r="E20" s="19"/>
      <c r="F20" s="17" t="str">
        <f t="shared" si="0"/>
        <v>Поставка комплекта радиооборудования для радиолинейной линии по объекту: «РРЛ База ЛПУМГ-ГРС-1, База ЛПУМГ-ГРС-2» </v>
      </c>
      <c r="G20" s="15" t="s">
        <v>200</v>
      </c>
      <c r="H20" s="16">
        <f t="shared" si="1"/>
        <v>0</v>
      </c>
      <c r="I20" s="15"/>
      <c r="J20" s="67" t="s">
        <v>193</v>
      </c>
      <c r="K20" s="63" t="s">
        <v>79</v>
      </c>
      <c r="L20" s="46" t="s">
        <v>80</v>
      </c>
      <c r="M20" s="46" t="s">
        <v>81</v>
      </c>
      <c r="N20" s="51">
        <v>1796330.52</v>
      </c>
      <c r="O20" s="48"/>
      <c r="P20" s="48">
        <f>N20</f>
        <v>1796330.52</v>
      </c>
      <c r="Q20" s="48"/>
      <c r="R20" s="48"/>
      <c r="S20" s="48"/>
      <c r="T20" s="48"/>
      <c r="U20" s="48"/>
      <c r="V20" s="48"/>
      <c r="W20" s="49">
        <f t="shared" si="3"/>
        <v>0</v>
      </c>
    </row>
    <row r="21" spans="1:23" ht="25.5">
      <c r="A21" s="13">
        <f t="shared" si="2"/>
        <v>10</v>
      </c>
      <c r="B21" s="18"/>
      <c r="C21" s="18"/>
      <c r="D21" s="59"/>
      <c r="E21" s="19"/>
      <c r="F21" s="17" t="str">
        <f t="shared" si="0"/>
        <v>Поставка геодезического оборудования</v>
      </c>
      <c r="G21" s="15" t="s">
        <v>201</v>
      </c>
      <c r="H21" s="16">
        <f t="shared" si="1"/>
        <v>0</v>
      </c>
      <c r="I21" s="15"/>
      <c r="J21" s="67" t="s">
        <v>193</v>
      </c>
      <c r="K21" s="63" t="s">
        <v>82</v>
      </c>
      <c r="L21" s="46" t="s">
        <v>83</v>
      </c>
      <c r="M21" s="46" t="s">
        <v>84</v>
      </c>
      <c r="N21" s="51">
        <v>2273618.4</v>
      </c>
      <c r="O21" s="48">
        <f>N21</f>
        <v>2273618.4</v>
      </c>
      <c r="P21" s="48"/>
      <c r="Q21" s="48"/>
      <c r="R21" s="48"/>
      <c r="S21" s="48"/>
      <c r="T21" s="48"/>
      <c r="U21" s="48"/>
      <c r="V21" s="48"/>
      <c r="W21" s="49">
        <f t="shared" si="3"/>
        <v>0</v>
      </c>
    </row>
    <row r="22" spans="1:23" ht="51">
      <c r="A22" s="13">
        <f t="shared" si="2"/>
        <v>11</v>
      </c>
      <c r="B22" s="18"/>
      <c r="C22" s="18"/>
      <c r="D22" s="59"/>
      <c r="E22" s="19" t="s">
        <v>21</v>
      </c>
      <c r="F22" s="17" t="str">
        <f t="shared" si="0"/>
        <v>поставка запасных частей ГАЗ, ЗЗГТ</v>
      </c>
      <c r="G22" s="15" t="s">
        <v>215</v>
      </c>
      <c r="H22" s="16">
        <f t="shared" si="1"/>
        <v>2230531.58</v>
      </c>
      <c r="I22" s="15" t="s">
        <v>18</v>
      </c>
      <c r="J22" s="67" t="s">
        <v>193</v>
      </c>
      <c r="K22" s="63" t="s">
        <v>41</v>
      </c>
      <c r="L22" s="46" t="s">
        <v>85</v>
      </c>
      <c r="M22" s="46" t="s">
        <v>86</v>
      </c>
      <c r="N22" s="51">
        <v>2230531.58</v>
      </c>
      <c r="O22" s="48">
        <v>0</v>
      </c>
      <c r="P22" s="48">
        <v>0</v>
      </c>
      <c r="Q22" s="48">
        <v>2230531.58</v>
      </c>
      <c r="R22" s="48">
        <v>0</v>
      </c>
      <c r="S22" s="48">
        <v>0</v>
      </c>
      <c r="T22" s="48">
        <v>0</v>
      </c>
      <c r="U22" s="48">
        <v>0</v>
      </c>
      <c r="V22" s="48">
        <v>0</v>
      </c>
      <c r="W22" s="49">
        <f t="shared" si="3"/>
        <v>0</v>
      </c>
    </row>
    <row r="23" spans="1:23" ht="38.25">
      <c r="A23" s="27">
        <f t="shared" si="2"/>
        <v>12</v>
      </c>
      <c r="B23" s="28"/>
      <c r="C23" s="28"/>
      <c r="D23" s="60"/>
      <c r="E23" s="1" t="s">
        <v>35</v>
      </c>
      <c r="F23" s="17" t="str">
        <f t="shared" si="0"/>
        <v>поставка экскаватора - погрузчика CASE 570-ST и дополнительного оборудования</v>
      </c>
      <c r="G23" s="15" t="s">
        <v>216</v>
      </c>
      <c r="H23" s="16">
        <f t="shared" si="1"/>
        <v>15600000</v>
      </c>
      <c r="I23" s="15" t="s">
        <v>11</v>
      </c>
      <c r="J23" s="67" t="s">
        <v>193</v>
      </c>
      <c r="K23" s="130" t="s">
        <v>16</v>
      </c>
      <c r="L23" s="125" t="s">
        <v>87</v>
      </c>
      <c r="M23" s="125" t="s">
        <v>88</v>
      </c>
      <c r="N23" s="127">
        <v>15600000</v>
      </c>
      <c r="O23" s="48">
        <v>0</v>
      </c>
      <c r="P23" s="48">
        <v>0</v>
      </c>
      <c r="Q23" s="48">
        <v>15600000</v>
      </c>
      <c r="R23" s="48">
        <v>0</v>
      </c>
      <c r="S23" s="48">
        <v>0</v>
      </c>
      <c r="T23" s="48">
        <v>0</v>
      </c>
      <c r="U23" s="48">
        <v>0</v>
      </c>
      <c r="V23" s="48">
        <v>0</v>
      </c>
      <c r="W23" s="49">
        <f t="shared" si="3"/>
        <v>0</v>
      </c>
    </row>
    <row r="24" spans="1:23" ht="12.75">
      <c r="A24" s="13">
        <f t="shared" si="2"/>
        <v>13</v>
      </c>
      <c r="B24" s="18"/>
      <c r="C24" s="18"/>
      <c r="D24" s="59"/>
      <c r="E24" s="19"/>
      <c r="F24" s="17">
        <f t="shared" si="0"/>
        <v>0</v>
      </c>
      <c r="G24" s="15"/>
      <c r="H24" s="16">
        <f t="shared" si="1"/>
        <v>0</v>
      </c>
      <c r="I24" s="15"/>
      <c r="J24" s="67" t="s">
        <v>193</v>
      </c>
      <c r="K24" s="131"/>
      <c r="L24" s="126"/>
      <c r="M24" s="126"/>
      <c r="N24" s="128"/>
      <c r="O24" s="48"/>
      <c r="P24" s="48"/>
      <c r="Q24" s="48"/>
      <c r="R24" s="48"/>
      <c r="S24" s="48"/>
      <c r="T24" s="48"/>
      <c r="U24" s="48"/>
      <c r="V24" s="48"/>
      <c r="W24" s="49">
        <f t="shared" si="3"/>
        <v>0</v>
      </c>
    </row>
    <row r="25" spans="1:23" ht="38.25">
      <c r="A25" s="13">
        <f t="shared" si="2"/>
        <v>14</v>
      </c>
      <c r="B25" s="18"/>
      <c r="C25" s="18"/>
      <c r="D25" s="59"/>
      <c r="E25" s="1" t="s">
        <v>20</v>
      </c>
      <c r="F25" s="17" t="str">
        <f t="shared" si="0"/>
        <v>Поставка электротехнической продукции для АО "Сахатранснефтегаз"</v>
      </c>
      <c r="G25" s="15" t="s">
        <v>219</v>
      </c>
      <c r="H25" s="16">
        <f t="shared" si="1"/>
        <v>1791893.68</v>
      </c>
      <c r="I25" s="15" t="s">
        <v>231</v>
      </c>
      <c r="J25" s="67" t="s">
        <v>193</v>
      </c>
      <c r="K25" s="63" t="s">
        <v>89</v>
      </c>
      <c r="L25" s="46" t="s">
        <v>90</v>
      </c>
      <c r="M25" s="46" t="s">
        <v>91</v>
      </c>
      <c r="N25" s="51">
        <v>4092156.52</v>
      </c>
      <c r="O25" s="48">
        <v>1187354.02</v>
      </c>
      <c r="P25" s="48"/>
      <c r="Q25" s="48">
        <v>1791893.68</v>
      </c>
      <c r="R25" s="48"/>
      <c r="S25" s="48">
        <v>1112908.8</v>
      </c>
      <c r="T25" s="48"/>
      <c r="U25" s="48"/>
      <c r="V25" s="48"/>
      <c r="W25" s="49">
        <f t="shared" si="3"/>
        <v>0.02000000001862645</v>
      </c>
    </row>
    <row r="26" spans="1:23" ht="22.5">
      <c r="A26" s="15"/>
      <c r="B26" s="18"/>
      <c r="C26" s="18"/>
      <c r="D26" s="59"/>
      <c r="E26" s="19"/>
      <c r="F26" s="17" t="str">
        <f t="shared" si="0"/>
        <v>поставка ЗП  ТТМ. ЗЗГТ</v>
      </c>
      <c r="G26" s="15" t="s">
        <v>202</v>
      </c>
      <c r="H26" s="16">
        <f t="shared" si="1"/>
        <v>0</v>
      </c>
      <c r="I26" s="15"/>
      <c r="J26" s="67" t="s">
        <v>193</v>
      </c>
      <c r="K26" s="63" t="s">
        <v>41</v>
      </c>
      <c r="L26" s="46" t="s">
        <v>92</v>
      </c>
      <c r="M26" s="46" t="s">
        <v>93</v>
      </c>
      <c r="N26" s="51">
        <v>8453191.96</v>
      </c>
      <c r="O26" s="48">
        <v>0</v>
      </c>
      <c r="P26" s="48">
        <v>8453191.96</v>
      </c>
      <c r="Q26" s="48">
        <v>0</v>
      </c>
      <c r="R26" s="48">
        <v>0</v>
      </c>
      <c r="S26" s="48">
        <v>0</v>
      </c>
      <c r="T26" s="48">
        <v>0</v>
      </c>
      <c r="U26" s="48">
        <v>0</v>
      </c>
      <c r="V26" s="48">
        <v>0</v>
      </c>
      <c r="W26" s="49">
        <f t="shared" si="3"/>
        <v>0</v>
      </c>
    </row>
    <row r="27" spans="1:23" ht="22.5">
      <c r="A27" s="15"/>
      <c r="B27" s="18"/>
      <c r="C27" s="18"/>
      <c r="D27" s="59"/>
      <c r="E27" s="19"/>
      <c r="F27" s="17" t="str">
        <f t="shared" si="0"/>
        <v>поставка резервуаров</v>
      </c>
      <c r="G27" s="15" t="s">
        <v>203</v>
      </c>
      <c r="H27" s="16">
        <f t="shared" si="1"/>
        <v>0</v>
      </c>
      <c r="I27" s="15"/>
      <c r="J27" s="67" t="s">
        <v>193</v>
      </c>
      <c r="K27" s="63" t="s">
        <v>94</v>
      </c>
      <c r="L27" s="46" t="s">
        <v>95</v>
      </c>
      <c r="M27" s="46" t="s">
        <v>96</v>
      </c>
      <c r="N27" s="51">
        <v>1476100</v>
      </c>
      <c r="O27" s="48"/>
      <c r="P27" s="48">
        <f>N27</f>
        <v>1476100</v>
      </c>
      <c r="Q27" s="48"/>
      <c r="R27" s="48"/>
      <c r="S27" s="48"/>
      <c r="T27" s="48"/>
      <c r="U27" s="48"/>
      <c r="V27" s="48"/>
      <c r="W27" s="49">
        <f t="shared" si="3"/>
        <v>0</v>
      </c>
    </row>
    <row r="28" spans="1:23" ht="25.5">
      <c r="A28" s="15"/>
      <c r="B28" s="18"/>
      <c r="C28" s="18"/>
      <c r="D28" s="59"/>
      <c r="E28" s="19"/>
      <c r="F28" s="17" t="str">
        <f t="shared" si="0"/>
        <v>поставка автоматических редуцирующих пунктов</v>
      </c>
      <c r="G28" s="15" t="s">
        <v>204</v>
      </c>
      <c r="H28" s="16">
        <f t="shared" si="1"/>
        <v>0</v>
      </c>
      <c r="I28" s="15"/>
      <c r="J28" s="67" t="s">
        <v>193</v>
      </c>
      <c r="K28" s="63" t="s">
        <v>97</v>
      </c>
      <c r="L28" s="46" t="s">
        <v>98</v>
      </c>
      <c r="M28" s="46" t="s">
        <v>99</v>
      </c>
      <c r="N28" s="51">
        <v>15436335.2</v>
      </c>
      <c r="O28" s="48">
        <v>3297450</v>
      </c>
      <c r="P28" s="48">
        <f>N28-O28</f>
        <v>12138885.2</v>
      </c>
      <c r="Q28" s="48"/>
      <c r="R28" s="48"/>
      <c r="S28" s="48"/>
      <c r="T28" s="48"/>
      <c r="U28" s="48"/>
      <c r="V28" s="48"/>
      <c r="W28" s="49">
        <f aca="true" t="shared" si="4" ref="W28:W57">N26-SUM(O26:V26)</f>
        <v>0</v>
      </c>
    </row>
    <row r="29" spans="1:23" ht="51">
      <c r="A29" s="15"/>
      <c r="B29" s="18"/>
      <c r="C29" s="18"/>
      <c r="D29" s="59"/>
      <c r="E29" s="19"/>
      <c r="F29" s="17" t="str">
        <f t="shared" si="0"/>
        <v>Поставка запорной и регулирующей арматуры (до д.300) для нужд подразделений АО «Сахатранснефтегаз» на 2017 год</v>
      </c>
      <c r="G29" s="15" t="s">
        <v>205</v>
      </c>
      <c r="H29" s="16">
        <f t="shared" si="1"/>
        <v>0</v>
      </c>
      <c r="I29" s="15"/>
      <c r="J29" s="67" t="s">
        <v>194</v>
      </c>
      <c r="K29" s="63" t="s">
        <v>15</v>
      </c>
      <c r="L29" s="46" t="s">
        <v>100</v>
      </c>
      <c r="M29" s="46" t="s">
        <v>101</v>
      </c>
      <c r="N29" s="51">
        <v>6402857</v>
      </c>
      <c r="O29" s="48">
        <v>5288321.040000001</v>
      </c>
      <c r="P29" s="48">
        <v>1114535.96</v>
      </c>
      <c r="Q29" s="48"/>
      <c r="R29" s="48"/>
      <c r="S29" s="48"/>
      <c r="T29" s="48"/>
      <c r="U29" s="48"/>
      <c r="V29" s="48"/>
      <c r="W29" s="49">
        <f t="shared" si="4"/>
        <v>0</v>
      </c>
    </row>
    <row r="30" spans="1:23" ht="51">
      <c r="A30" s="15"/>
      <c r="B30" s="18"/>
      <c r="C30" s="18"/>
      <c r="D30" s="59"/>
      <c r="E30" s="19"/>
      <c r="F30" s="17" t="str">
        <f t="shared" si="0"/>
        <v>Поставка запорной и регулирующей арматуры (от д.300) для нужд подразделений АО «Сахатранснефтегаз» на 2017 год</v>
      </c>
      <c r="G30" s="15" t="s">
        <v>206</v>
      </c>
      <c r="H30" s="16">
        <f t="shared" si="1"/>
        <v>0</v>
      </c>
      <c r="I30" s="15"/>
      <c r="J30" s="67" t="s">
        <v>194</v>
      </c>
      <c r="K30" s="63" t="s">
        <v>15</v>
      </c>
      <c r="L30" s="46" t="s">
        <v>102</v>
      </c>
      <c r="M30" s="46" t="s">
        <v>103</v>
      </c>
      <c r="N30" s="51">
        <v>14627493.58</v>
      </c>
      <c r="O30" s="48">
        <f>N30</f>
        <v>14627493.58</v>
      </c>
      <c r="P30" s="48"/>
      <c r="Q30" s="48"/>
      <c r="R30" s="48"/>
      <c r="S30" s="48"/>
      <c r="T30" s="48"/>
      <c r="U30" s="48"/>
      <c r="V30" s="48"/>
      <c r="W30" s="49">
        <f t="shared" si="4"/>
        <v>0</v>
      </c>
    </row>
    <row r="31" spans="1:23" ht="114.75">
      <c r="A31" s="15"/>
      <c r="B31" s="18"/>
      <c r="C31" s="18"/>
      <c r="D31" s="59"/>
      <c r="E31" s="19"/>
      <c r="F31" s="17" t="str">
        <f t="shared" si="0"/>
        <v>Приобретение комплектов радиооборудования для объектов:  «РРС-1 с. Бясь-Кюель М/Гп к с. Бердигестях», «РРС-2 с. Бясь-Кюель М/Гп к с. Бердигестях», «МГ к с. Бердигестях. Горного улуса Республики Саха (Якутия). РРС-3», «МГ к с. Бердигестях. Горного улуса Республики Саха (Якутия) УРС-4/1».</v>
      </c>
      <c r="G31" s="15" t="s">
        <v>207</v>
      </c>
      <c r="H31" s="16">
        <f t="shared" si="1"/>
        <v>0</v>
      </c>
      <c r="I31" s="15"/>
      <c r="J31" s="67" t="s">
        <v>194</v>
      </c>
      <c r="K31" s="63" t="s">
        <v>79</v>
      </c>
      <c r="L31" s="46" t="s">
        <v>104</v>
      </c>
      <c r="M31" s="46" t="s">
        <v>105</v>
      </c>
      <c r="N31" s="51">
        <v>6178540.18</v>
      </c>
      <c r="O31" s="48"/>
      <c r="P31" s="48">
        <f>N31</f>
        <v>6178540.18</v>
      </c>
      <c r="Q31" s="51"/>
      <c r="R31" s="52"/>
      <c r="S31" s="53"/>
      <c r="T31" s="53"/>
      <c r="U31" s="53"/>
      <c r="V31" s="53"/>
      <c r="W31" s="49">
        <f t="shared" si="4"/>
        <v>0</v>
      </c>
    </row>
    <row r="32" spans="1:23" ht="38.25">
      <c r="A32" s="15"/>
      <c r="B32" s="18"/>
      <c r="C32" s="18"/>
      <c r="D32" s="59"/>
      <c r="E32" s="19" t="s">
        <v>24</v>
      </c>
      <c r="F32" s="17" t="str">
        <f t="shared" si="0"/>
        <v>Поставка Сварочного агрегата Denio для нужд УГРС АО "Сахатранснефтегаз"</v>
      </c>
      <c r="G32" s="15" t="s">
        <v>221</v>
      </c>
      <c r="H32" s="16">
        <f t="shared" si="1"/>
        <v>1060000</v>
      </c>
      <c r="I32" s="15" t="s">
        <v>231</v>
      </c>
      <c r="J32" s="67" t="s">
        <v>194</v>
      </c>
      <c r="K32" s="63" t="s">
        <v>40</v>
      </c>
      <c r="L32" s="46" t="s">
        <v>106</v>
      </c>
      <c r="M32" s="46" t="s">
        <v>107</v>
      </c>
      <c r="N32" s="51">
        <v>1060000</v>
      </c>
      <c r="O32" s="48"/>
      <c r="P32" s="48"/>
      <c r="Q32" s="51">
        <v>1060000</v>
      </c>
      <c r="R32" s="52"/>
      <c r="S32" s="53"/>
      <c r="T32" s="53"/>
      <c r="U32" s="53"/>
      <c r="V32" s="53"/>
      <c r="W32" s="49">
        <f t="shared" si="4"/>
        <v>0</v>
      </c>
    </row>
    <row r="33" spans="1:23" ht="38.25">
      <c r="A33" s="15"/>
      <c r="B33" s="18"/>
      <c r="C33" s="18"/>
      <c r="D33" s="59"/>
      <c r="E33" s="1" t="s">
        <v>35</v>
      </c>
      <c r="F33" s="17" t="str">
        <f t="shared" si="0"/>
        <v>Поставка ТС группы УАЗ для нужд подразделений АО "Сахатранснефтегаз"</v>
      </c>
      <c r="G33" s="15" t="s">
        <v>220</v>
      </c>
      <c r="H33" s="16">
        <f t="shared" si="1"/>
        <v>11747900</v>
      </c>
      <c r="I33" s="15" t="s">
        <v>11</v>
      </c>
      <c r="J33" s="67" t="s">
        <v>194</v>
      </c>
      <c r="K33" s="63" t="s">
        <v>17</v>
      </c>
      <c r="L33" s="46" t="s">
        <v>108</v>
      </c>
      <c r="M33" s="46" t="s">
        <v>109</v>
      </c>
      <c r="N33" s="51">
        <v>13207900</v>
      </c>
      <c r="O33" s="48"/>
      <c r="P33" s="48">
        <v>716000</v>
      </c>
      <c r="Q33" s="51">
        <f>N33-P33-U33</f>
        <v>11747900</v>
      </c>
      <c r="R33" s="52"/>
      <c r="S33" s="53"/>
      <c r="T33" s="53"/>
      <c r="U33" s="54">
        <v>744000</v>
      </c>
      <c r="V33" s="53"/>
      <c r="W33" s="49">
        <f t="shared" si="4"/>
        <v>0</v>
      </c>
    </row>
    <row r="34" spans="1:23" ht="38.25">
      <c r="A34" s="15"/>
      <c r="B34" s="18"/>
      <c r="C34" s="18"/>
      <c r="D34" s="59"/>
      <c r="E34" s="1" t="s">
        <v>35</v>
      </c>
      <c r="F34" s="17" t="str">
        <f t="shared" si="0"/>
        <v>Поставка ТС группы УАЗ для нужд подразделений АО "Сахатранснефтегаз"</v>
      </c>
      <c r="G34" s="15" t="s">
        <v>196</v>
      </c>
      <c r="H34" s="16">
        <f t="shared" si="1"/>
        <v>744000</v>
      </c>
      <c r="I34" s="15" t="s">
        <v>11</v>
      </c>
      <c r="J34" s="67" t="s">
        <v>194</v>
      </c>
      <c r="K34" s="63" t="s">
        <v>17</v>
      </c>
      <c r="L34" s="46" t="s">
        <v>110</v>
      </c>
      <c r="M34" s="46" t="s">
        <v>109</v>
      </c>
      <c r="N34" s="51">
        <v>744000</v>
      </c>
      <c r="O34" s="48"/>
      <c r="P34" s="48"/>
      <c r="Q34" s="51">
        <v>744000</v>
      </c>
      <c r="R34" s="52"/>
      <c r="S34" s="53"/>
      <c r="T34" s="53"/>
      <c r="U34" s="53"/>
      <c r="V34" s="53"/>
      <c r="W34" s="49">
        <f t="shared" si="4"/>
        <v>0</v>
      </c>
    </row>
    <row r="35" spans="1:23" ht="25.5">
      <c r="A35" s="15"/>
      <c r="B35" s="18"/>
      <c r="C35" s="18"/>
      <c r="D35" s="59"/>
      <c r="E35" s="1"/>
      <c r="F35" s="17" t="str">
        <f t="shared" si="0"/>
        <v>поставка экскаватора HITACHI ZX330LC-5G </v>
      </c>
      <c r="G35" s="15" t="s">
        <v>196</v>
      </c>
      <c r="H35" s="16">
        <f t="shared" si="1"/>
        <v>0</v>
      </c>
      <c r="I35" s="15"/>
      <c r="J35" s="67" t="s">
        <v>194</v>
      </c>
      <c r="K35" s="63" t="s">
        <v>111</v>
      </c>
      <c r="L35" s="46" t="s">
        <v>112</v>
      </c>
      <c r="M35" s="46" t="s">
        <v>113</v>
      </c>
      <c r="N35" s="51">
        <v>14500000</v>
      </c>
      <c r="O35" s="48">
        <v>0</v>
      </c>
      <c r="P35" s="48">
        <v>14500000</v>
      </c>
      <c r="Q35" s="51">
        <v>0</v>
      </c>
      <c r="R35" s="52">
        <v>0</v>
      </c>
      <c r="S35" s="55">
        <v>0</v>
      </c>
      <c r="T35" s="55">
        <v>0</v>
      </c>
      <c r="U35" s="55">
        <v>0</v>
      </c>
      <c r="V35" s="55">
        <v>0</v>
      </c>
      <c r="W35" s="49">
        <f t="shared" si="4"/>
        <v>0</v>
      </c>
    </row>
    <row r="36" spans="1:23" ht="25.5">
      <c r="A36" s="15"/>
      <c r="B36" s="18"/>
      <c r="C36" s="18"/>
      <c r="D36" s="59"/>
      <c r="E36" s="19" t="s">
        <v>24</v>
      </c>
      <c r="F36" s="17" t="str">
        <f t="shared" si="0"/>
        <v>поставки здания КПП на ул.Автодорожная</v>
      </c>
      <c r="G36" s="15" t="s">
        <v>221</v>
      </c>
      <c r="H36" s="16">
        <f t="shared" si="1"/>
        <v>1300000</v>
      </c>
      <c r="I36" s="15" t="s">
        <v>18</v>
      </c>
      <c r="J36" s="67" t="s">
        <v>194</v>
      </c>
      <c r="K36" s="63" t="s">
        <v>114</v>
      </c>
      <c r="L36" s="46" t="s">
        <v>115</v>
      </c>
      <c r="M36" s="46" t="s">
        <v>116</v>
      </c>
      <c r="N36" s="51">
        <v>1300000</v>
      </c>
      <c r="O36" s="48"/>
      <c r="P36" s="48"/>
      <c r="Q36" s="51">
        <v>1300000</v>
      </c>
      <c r="R36" s="52"/>
      <c r="S36" s="53"/>
      <c r="T36" s="53"/>
      <c r="U36" s="53"/>
      <c r="V36" s="53"/>
      <c r="W36" s="49">
        <f t="shared" si="4"/>
        <v>0</v>
      </c>
    </row>
    <row r="37" spans="1:23" ht="102">
      <c r="A37" s="15"/>
      <c r="B37" s="18"/>
      <c r="C37" s="18"/>
      <c r="D37" s="59"/>
      <c r="E37" s="19" t="s">
        <v>22</v>
      </c>
      <c r="F37" s="17" t="str">
        <f t="shared" si="0"/>
        <v>Поставка полиэтиленовой трубной продукции и фитингов для нужд подразделений АО «Сахатранснефтегаз» на 2017 год.</v>
      </c>
      <c r="G37" s="15" t="s">
        <v>222</v>
      </c>
      <c r="H37" s="16">
        <f t="shared" si="1"/>
        <v>10414012.355999999</v>
      </c>
      <c r="I37" s="15" t="s">
        <v>11</v>
      </c>
      <c r="J37" s="67" t="s">
        <v>194</v>
      </c>
      <c r="K37" s="63" t="s">
        <v>117</v>
      </c>
      <c r="L37" s="56" t="s">
        <v>118</v>
      </c>
      <c r="M37" s="56" t="s">
        <v>119</v>
      </c>
      <c r="N37" s="51">
        <v>10564694.84</v>
      </c>
      <c r="O37" s="56">
        <v>48381.74639999999</v>
      </c>
      <c r="P37" s="56"/>
      <c r="Q37" s="56">
        <v>10414012.355999999</v>
      </c>
      <c r="R37" s="56"/>
      <c r="S37" s="56">
        <v>102300.68999999999</v>
      </c>
      <c r="T37" s="56"/>
      <c r="U37" s="56"/>
      <c r="V37" s="56"/>
      <c r="W37" s="49">
        <f>N36-SUM(O36:V36)</f>
        <v>0</v>
      </c>
    </row>
    <row r="38" spans="1:23" ht="38.25">
      <c r="A38" s="29"/>
      <c r="B38" s="28"/>
      <c r="C38" s="28"/>
      <c r="D38" s="60"/>
      <c r="E38" s="14" t="s">
        <v>33</v>
      </c>
      <c r="F38" s="17" t="str">
        <f t="shared" si="0"/>
        <v>Поставка элементов питания для нужд подразделения УГРС АО «Сахатранснефтегаз».</v>
      </c>
      <c r="G38" s="15" t="s">
        <v>223</v>
      </c>
      <c r="H38" s="16">
        <f t="shared" si="1"/>
        <v>318750</v>
      </c>
      <c r="I38" s="15" t="s">
        <v>231</v>
      </c>
      <c r="J38" s="67" t="s">
        <v>194</v>
      </c>
      <c r="K38" s="63" t="s">
        <v>89</v>
      </c>
      <c r="L38" s="46" t="s">
        <v>120</v>
      </c>
      <c r="M38" s="46" t="s">
        <v>121</v>
      </c>
      <c r="N38" s="51">
        <v>318750</v>
      </c>
      <c r="O38" s="48"/>
      <c r="P38" s="48"/>
      <c r="Q38" s="51">
        <v>318750</v>
      </c>
      <c r="R38" s="52"/>
      <c r="S38" s="53"/>
      <c r="T38" s="53"/>
      <c r="U38" s="53"/>
      <c r="V38" s="53"/>
      <c r="W38" s="49" t="e">
        <f>#REF!-SUM(#REF!)</f>
        <v>#REF!</v>
      </c>
    </row>
    <row r="39" spans="1:23" ht="102">
      <c r="A39" s="15"/>
      <c r="B39" s="18"/>
      <c r="C39" s="19"/>
      <c r="D39" s="59"/>
      <c r="E39" s="19" t="s">
        <v>22</v>
      </c>
      <c r="F39" s="17" t="str">
        <f t="shared" si="0"/>
        <v>Поставка изоляционных материалов для подразделений АО «Сахатранснефтегаз» на 2017 год.</v>
      </c>
      <c r="G39" s="15" t="s">
        <v>224</v>
      </c>
      <c r="H39" s="16">
        <f t="shared" si="1"/>
        <v>403322.82</v>
      </c>
      <c r="I39" s="15" t="s">
        <v>18</v>
      </c>
      <c r="J39" s="67" t="s">
        <v>194</v>
      </c>
      <c r="K39" s="63" t="s">
        <v>44</v>
      </c>
      <c r="L39" s="46" t="s">
        <v>122</v>
      </c>
      <c r="M39" s="46" t="s">
        <v>43</v>
      </c>
      <c r="N39" s="51">
        <v>587929.2</v>
      </c>
      <c r="O39" s="48">
        <f>5463*1.18</f>
        <v>6446.339999999999</v>
      </c>
      <c r="P39" s="48">
        <f>126703.08*1.18</f>
        <v>149509.63439999998</v>
      </c>
      <c r="Q39" s="51">
        <f>341799*1.18</f>
        <v>403322.82</v>
      </c>
      <c r="R39" s="52"/>
      <c r="S39" s="53">
        <f>24280*1.18</f>
        <v>28650.399999999998</v>
      </c>
      <c r="T39" s="53"/>
      <c r="U39" s="53"/>
      <c r="V39" s="53"/>
      <c r="W39" s="49">
        <f t="shared" si="4"/>
        <v>0.047600001096725464</v>
      </c>
    </row>
    <row r="40" spans="1:23" ht="51">
      <c r="A40" s="15"/>
      <c r="B40" s="18"/>
      <c r="C40" s="19"/>
      <c r="D40" s="59"/>
      <c r="E40" s="19"/>
      <c r="F40" s="17" t="str">
        <f t="shared" si="0"/>
        <v>Поставка электротехнической продукции для подразделения УДиТГ АО «Сахатранснефтегаз» на 2017 год.</v>
      </c>
      <c r="G40" s="15" t="s">
        <v>208</v>
      </c>
      <c r="H40" s="16">
        <f t="shared" si="1"/>
        <v>0</v>
      </c>
      <c r="I40" s="15"/>
      <c r="J40" s="67" t="s">
        <v>194</v>
      </c>
      <c r="K40" s="63" t="s">
        <v>89</v>
      </c>
      <c r="L40" s="46" t="s">
        <v>123</v>
      </c>
      <c r="M40" s="46" t="s">
        <v>124</v>
      </c>
      <c r="N40" s="51">
        <v>702240</v>
      </c>
      <c r="O40" s="48">
        <v>702240</v>
      </c>
      <c r="P40" s="48"/>
      <c r="Q40" s="51"/>
      <c r="R40" s="52"/>
      <c r="S40" s="53"/>
      <c r="T40" s="53"/>
      <c r="U40" s="53"/>
      <c r="V40" s="53"/>
      <c r="W40" s="49">
        <f t="shared" si="4"/>
        <v>0</v>
      </c>
    </row>
    <row r="41" spans="1:23" ht="25.5">
      <c r="A41" s="15"/>
      <c r="B41" s="18"/>
      <c r="C41" s="19"/>
      <c r="D41" s="59"/>
      <c r="E41" s="19"/>
      <c r="F41" s="17" t="str">
        <f t="shared" si="0"/>
        <v>Поставка контроллеров и модулей для ЛПУМГ АО СТНГ</v>
      </c>
      <c r="G41" s="15" t="s">
        <v>209</v>
      </c>
      <c r="H41" s="16">
        <f t="shared" si="1"/>
        <v>0</v>
      </c>
      <c r="I41" s="15"/>
      <c r="J41" s="67" t="s">
        <v>194</v>
      </c>
      <c r="K41" s="63" t="s">
        <v>125</v>
      </c>
      <c r="L41" s="46" t="s">
        <v>126</v>
      </c>
      <c r="M41" s="46" t="s">
        <v>127</v>
      </c>
      <c r="N41" s="51">
        <v>876617.27</v>
      </c>
      <c r="O41" s="48"/>
      <c r="P41" s="48">
        <f>N41</f>
        <v>876617.27</v>
      </c>
      <c r="Q41" s="51"/>
      <c r="R41" s="52"/>
      <c r="S41" s="53"/>
      <c r="T41" s="53"/>
      <c r="U41" s="53"/>
      <c r="V41" s="53"/>
      <c r="W41" s="49">
        <f t="shared" si="4"/>
        <v>0.005599999916739762</v>
      </c>
    </row>
    <row r="42" spans="1:23" ht="25.5">
      <c r="A42" s="15"/>
      <c r="B42" s="18"/>
      <c r="C42" s="19"/>
      <c r="D42" s="59"/>
      <c r="E42" s="19"/>
      <c r="F42" s="17" t="str">
        <f t="shared" si="0"/>
        <v>Поставка системы звук.трансляции для ЛПУМГ</v>
      </c>
      <c r="G42" s="15" t="s">
        <v>210</v>
      </c>
      <c r="H42" s="16">
        <f t="shared" si="1"/>
        <v>0</v>
      </c>
      <c r="I42" s="15"/>
      <c r="J42" s="67" t="s">
        <v>194</v>
      </c>
      <c r="K42" s="63" t="s">
        <v>128</v>
      </c>
      <c r="L42" s="46" t="s">
        <v>129</v>
      </c>
      <c r="M42" s="46" t="s">
        <v>130</v>
      </c>
      <c r="N42" s="51">
        <v>425212.54</v>
      </c>
      <c r="O42" s="48"/>
      <c r="P42" s="48">
        <f>N42</f>
        <v>425212.54</v>
      </c>
      <c r="Q42" s="51"/>
      <c r="R42" s="52"/>
      <c r="S42" s="53"/>
      <c r="T42" s="53"/>
      <c r="U42" s="53"/>
      <c r="V42" s="53"/>
      <c r="W42" s="49">
        <f t="shared" si="4"/>
        <v>0</v>
      </c>
    </row>
    <row r="43" spans="1:23" ht="102">
      <c r="A43" s="15"/>
      <c r="B43" s="18"/>
      <c r="C43" s="19"/>
      <c r="D43" s="59"/>
      <c r="E43" s="19" t="s">
        <v>22</v>
      </c>
      <c r="F43" s="17" t="str">
        <f t="shared" si="0"/>
        <v>Поставка запорной арматуры для УГРС</v>
      </c>
      <c r="G43" s="15" t="s">
        <v>228</v>
      </c>
      <c r="H43" s="16">
        <f t="shared" si="1"/>
        <v>4776304.88</v>
      </c>
      <c r="I43" s="15" t="s">
        <v>18</v>
      </c>
      <c r="J43" s="67" t="s">
        <v>195</v>
      </c>
      <c r="K43" s="63" t="s">
        <v>131</v>
      </c>
      <c r="L43" s="46" t="s">
        <v>132</v>
      </c>
      <c r="M43" s="46" t="s">
        <v>133</v>
      </c>
      <c r="N43" s="51">
        <v>4776304.88</v>
      </c>
      <c r="O43" s="48"/>
      <c r="P43" s="48"/>
      <c r="Q43" s="51">
        <v>4776304.88</v>
      </c>
      <c r="R43" s="52"/>
      <c r="S43" s="53"/>
      <c r="T43" s="53"/>
      <c r="U43" s="53"/>
      <c r="V43" s="53"/>
      <c r="W43" s="49">
        <f t="shared" si="4"/>
        <v>0</v>
      </c>
    </row>
    <row r="44" spans="1:23" ht="38.25">
      <c r="A44" s="15"/>
      <c r="B44" s="18"/>
      <c r="C44" s="19"/>
      <c r="D44" s="59"/>
      <c r="E44" s="19"/>
      <c r="F44" s="17" t="str">
        <f t="shared" si="0"/>
        <v>Поставка оборудования для подразделения УДиТГ АО «Сахатранснефтегаз» на 2017 год.</v>
      </c>
      <c r="G44" s="15" t="s">
        <v>211</v>
      </c>
      <c r="H44" s="16">
        <f t="shared" si="1"/>
        <v>0</v>
      </c>
      <c r="I44" s="15"/>
      <c r="J44" s="67" t="s">
        <v>195</v>
      </c>
      <c r="K44" s="63" t="s">
        <v>76</v>
      </c>
      <c r="L44" s="46" t="s">
        <v>134</v>
      </c>
      <c r="M44" s="46" t="s">
        <v>135</v>
      </c>
      <c r="N44" s="51">
        <v>3293616</v>
      </c>
      <c r="O44" s="48">
        <v>3293616</v>
      </c>
      <c r="P44" s="48"/>
      <c r="Q44" s="51"/>
      <c r="R44" s="52"/>
      <c r="S44" s="53"/>
      <c r="T44" s="53"/>
      <c r="U44" s="53"/>
      <c r="V44" s="53"/>
      <c r="W44" s="49">
        <f t="shared" si="4"/>
        <v>0</v>
      </c>
    </row>
    <row r="45" spans="1:23" ht="102">
      <c r="A45" s="15"/>
      <c r="B45" s="18"/>
      <c r="C45" s="19"/>
      <c r="D45" s="59"/>
      <c r="E45" s="19" t="s">
        <v>22</v>
      </c>
      <c r="F45" s="17" t="str">
        <f t="shared" si="0"/>
        <v>Поставка элементов трубопроводов для подразделений АО «Сахатранснефтегаз» на 2017 год.</v>
      </c>
      <c r="G45" s="15" t="s">
        <v>225</v>
      </c>
      <c r="H45" s="16">
        <f t="shared" si="1"/>
        <v>2900668.92</v>
      </c>
      <c r="I45" s="15" t="s">
        <v>18</v>
      </c>
      <c r="J45" s="67" t="s">
        <v>195</v>
      </c>
      <c r="K45" s="63" t="s">
        <v>136</v>
      </c>
      <c r="L45" s="46" t="s">
        <v>137</v>
      </c>
      <c r="M45" s="46" t="s">
        <v>138</v>
      </c>
      <c r="N45" s="51">
        <v>3377508.1</v>
      </c>
      <c r="O45" s="48">
        <v>475706.37999999995</v>
      </c>
      <c r="P45" s="48"/>
      <c r="Q45" s="51">
        <v>2900668.92</v>
      </c>
      <c r="R45" s="52"/>
      <c r="S45" s="53">
        <v>1132.8</v>
      </c>
      <c r="T45" s="53"/>
      <c r="U45" s="53"/>
      <c r="V45" s="53"/>
      <c r="W45" s="49">
        <f t="shared" si="4"/>
        <v>0</v>
      </c>
    </row>
    <row r="46" spans="1:23" ht="51">
      <c r="A46" s="15"/>
      <c r="B46" s="18"/>
      <c r="C46" s="19"/>
      <c r="D46" s="59"/>
      <c r="E46" s="19"/>
      <c r="F46" s="17" t="str">
        <f t="shared" si="0"/>
        <v>Поставка изоляционных материалов для подразделения УТС АО «Сахатранснефтегаз» на 2017 год (утеплитель Кнауф)</v>
      </c>
      <c r="G46" s="15"/>
      <c r="H46" s="16">
        <f t="shared" si="1"/>
        <v>0</v>
      </c>
      <c r="I46" s="15"/>
      <c r="J46" s="67" t="s">
        <v>195</v>
      </c>
      <c r="K46" s="63" t="s">
        <v>89</v>
      </c>
      <c r="L46" s="46" t="s">
        <v>139</v>
      </c>
      <c r="M46" s="46" t="s">
        <v>140</v>
      </c>
      <c r="N46" s="51">
        <v>825000</v>
      </c>
      <c r="O46" s="48"/>
      <c r="P46" s="48"/>
      <c r="Q46" s="51"/>
      <c r="R46" s="52"/>
      <c r="S46" s="53">
        <v>825000</v>
      </c>
      <c r="T46" s="53"/>
      <c r="U46" s="53"/>
      <c r="V46" s="53"/>
      <c r="W46" s="49">
        <f t="shared" si="4"/>
        <v>0</v>
      </c>
    </row>
    <row r="47" spans="1:23" ht="25.5">
      <c r="A47" s="15"/>
      <c r="B47" s="18"/>
      <c r="C47" s="19"/>
      <c r="D47" s="59"/>
      <c r="E47" s="19"/>
      <c r="F47" s="17" t="str">
        <f t="shared" si="0"/>
        <v>Поставка мини-эксковатора для нужд подразделения ЛПУМГ</v>
      </c>
      <c r="G47" s="15" t="s">
        <v>196</v>
      </c>
      <c r="H47" s="16">
        <f t="shared" si="1"/>
        <v>0</v>
      </c>
      <c r="I47" s="15"/>
      <c r="J47" s="67" t="s">
        <v>195</v>
      </c>
      <c r="K47" s="63" t="s">
        <v>141</v>
      </c>
      <c r="L47" s="46" t="s">
        <v>142</v>
      </c>
      <c r="M47" s="46" t="s">
        <v>143</v>
      </c>
      <c r="N47" s="51">
        <v>2450000</v>
      </c>
      <c r="O47" s="48"/>
      <c r="P47" s="48">
        <f>N47</f>
        <v>2450000</v>
      </c>
      <c r="Q47" s="51"/>
      <c r="R47" s="52"/>
      <c r="S47" s="53"/>
      <c r="T47" s="53"/>
      <c r="U47" s="53"/>
      <c r="V47" s="53"/>
      <c r="W47" s="49">
        <f>N45-SUM(O45:V45)</f>
        <v>0</v>
      </c>
    </row>
    <row r="48" spans="1:23" ht="102">
      <c r="A48" s="15"/>
      <c r="B48" s="18"/>
      <c r="C48" s="19"/>
      <c r="D48" s="59"/>
      <c r="E48" s="19" t="s">
        <v>22</v>
      </c>
      <c r="F48" s="17" t="str">
        <f t="shared" si="0"/>
        <v>Поставка оборудования для нужд подразделений АО «Сахатранснефтегаз» на 2017 год.</v>
      </c>
      <c r="G48" s="15" t="s">
        <v>226</v>
      </c>
      <c r="H48" s="16">
        <f t="shared" si="1"/>
        <v>1800444</v>
      </c>
      <c r="I48" s="15" t="s">
        <v>18</v>
      </c>
      <c r="J48" s="67" t="s">
        <v>195</v>
      </c>
      <c r="K48" s="63" t="s">
        <v>76</v>
      </c>
      <c r="L48" s="46" t="s">
        <v>144</v>
      </c>
      <c r="M48" s="46" t="s">
        <v>145</v>
      </c>
      <c r="N48" s="51">
        <v>3934120</v>
      </c>
      <c r="O48" s="48">
        <f>3934120-P48-Q48</f>
        <v>2045412</v>
      </c>
      <c r="P48" s="48">
        <f>74800*1.18</f>
        <v>88264</v>
      </c>
      <c r="Q48" s="51">
        <f>1525800*1.18</f>
        <v>1800444</v>
      </c>
      <c r="R48" s="52"/>
      <c r="S48" s="53"/>
      <c r="T48" s="53"/>
      <c r="U48" s="53"/>
      <c r="V48" s="53"/>
      <c r="W48" s="49">
        <f>N46-SUM(O46:V46)</f>
        <v>0</v>
      </c>
    </row>
    <row r="49" spans="3:23" ht="51">
      <c r="C49" s="2"/>
      <c r="E49" s="19"/>
      <c r="F49" s="17" t="str">
        <f t="shared" si="0"/>
        <v>Поставка запорной и регулирующей арматуры для нужд подразделений АО «Сахатранснефтегаз» на 2017 год.</v>
      </c>
      <c r="G49" s="15" t="s">
        <v>212</v>
      </c>
      <c r="H49" s="16">
        <f t="shared" si="1"/>
        <v>0</v>
      </c>
      <c r="I49" s="15"/>
      <c r="J49" s="67" t="s">
        <v>195</v>
      </c>
      <c r="K49" s="63" t="s">
        <v>131</v>
      </c>
      <c r="L49" s="46" t="s">
        <v>146</v>
      </c>
      <c r="M49" s="46" t="s">
        <v>147</v>
      </c>
      <c r="N49" s="51">
        <v>1667148.84</v>
      </c>
      <c r="O49" s="48">
        <f>1667148.84-P49-S49</f>
        <v>564666.5800000001</v>
      </c>
      <c r="P49" s="48">
        <f>69196*1.18</f>
        <v>81651.28</v>
      </c>
      <c r="Q49" s="51"/>
      <c r="R49" s="52"/>
      <c r="S49" s="53">
        <f>865111*1.18</f>
        <v>1020830.98</v>
      </c>
      <c r="T49" s="53"/>
      <c r="U49" s="53"/>
      <c r="V49" s="53"/>
      <c r="W49" s="49">
        <f t="shared" si="4"/>
        <v>0</v>
      </c>
    </row>
    <row r="50" spans="3:23" ht="25.5">
      <c r="C50" s="2"/>
      <c r="E50" s="19"/>
      <c r="F50" s="17" t="str">
        <f t="shared" si="0"/>
        <v>поставка запасных частей на транспортные средства</v>
      </c>
      <c r="G50" s="15" t="s">
        <v>213</v>
      </c>
      <c r="H50" s="16">
        <f t="shared" si="1"/>
        <v>0</v>
      </c>
      <c r="I50" s="15"/>
      <c r="J50" s="67" t="s">
        <v>195</v>
      </c>
      <c r="K50" s="63" t="s">
        <v>148</v>
      </c>
      <c r="L50" s="46" t="s">
        <v>149</v>
      </c>
      <c r="M50" s="46" t="s">
        <v>150</v>
      </c>
      <c r="N50" s="51">
        <v>1503000</v>
      </c>
      <c r="O50" s="48">
        <v>0</v>
      </c>
      <c r="P50" s="48">
        <v>1503000</v>
      </c>
      <c r="Q50" s="51">
        <v>0</v>
      </c>
      <c r="R50" s="52">
        <v>0</v>
      </c>
      <c r="S50" s="55">
        <v>0</v>
      </c>
      <c r="T50" s="55">
        <v>0</v>
      </c>
      <c r="U50" s="55">
        <v>0</v>
      </c>
      <c r="V50" s="55">
        <v>0</v>
      </c>
      <c r="W50" s="49">
        <f t="shared" si="4"/>
        <v>0</v>
      </c>
    </row>
    <row r="51" spans="3:23" ht="25.5">
      <c r="C51" s="2"/>
      <c r="E51" s="19"/>
      <c r="F51" s="17" t="str">
        <f t="shared" si="0"/>
        <v>поставка автобуса КАВЗ 4235-12 АВРОРА</v>
      </c>
      <c r="G51" s="15" t="s">
        <v>196</v>
      </c>
      <c r="H51" s="16">
        <f t="shared" si="1"/>
        <v>0</v>
      </c>
      <c r="I51" s="15"/>
      <c r="J51" s="67" t="s">
        <v>195</v>
      </c>
      <c r="K51" s="63" t="s">
        <v>151</v>
      </c>
      <c r="L51" s="46" t="s">
        <v>152</v>
      </c>
      <c r="M51" s="46" t="s">
        <v>153</v>
      </c>
      <c r="N51" s="51">
        <v>4307000</v>
      </c>
      <c r="O51" s="48">
        <v>0</v>
      </c>
      <c r="P51" s="48">
        <v>4307000</v>
      </c>
      <c r="Q51" s="51">
        <v>0</v>
      </c>
      <c r="R51" s="52">
        <v>0</v>
      </c>
      <c r="S51" s="55">
        <v>0</v>
      </c>
      <c r="T51" s="55">
        <v>0</v>
      </c>
      <c r="U51" s="55">
        <v>0</v>
      </c>
      <c r="V51" s="55">
        <v>0</v>
      </c>
      <c r="W51" s="49">
        <f t="shared" si="4"/>
        <v>0</v>
      </c>
    </row>
    <row r="52" spans="3:23" ht="12.75">
      <c r="C52" s="2"/>
      <c r="E52" s="19"/>
      <c r="F52" s="17" t="str">
        <f t="shared" si="0"/>
        <v>Поставка лодочных моторов</v>
      </c>
      <c r="G52" s="15" t="s">
        <v>214</v>
      </c>
      <c r="H52" s="16">
        <f t="shared" si="1"/>
        <v>0</v>
      </c>
      <c r="I52" s="15"/>
      <c r="J52" s="67" t="s">
        <v>195</v>
      </c>
      <c r="K52" s="63" t="s">
        <v>154</v>
      </c>
      <c r="L52" s="46" t="s">
        <v>155</v>
      </c>
      <c r="M52" s="46" t="s">
        <v>156</v>
      </c>
      <c r="N52" s="51">
        <v>639800</v>
      </c>
      <c r="O52" s="48"/>
      <c r="P52" s="48">
        <v>639800</v>
      </c>
      <c r="Q52" s="51"/>
      <c r="R52" s="52"/>
      <c r="S52" s="55"/>
      <c r="T52" s="55"/>
      <c r="U52" s="55"/>
      <c r="V52" s="55"/>
      <c r="W52" s="49">
        <f t="shared" si="4"/>
        <v>0</v>
      </c>
    </row>
    <row r="53" spans="3:23" ht="22.5">
      <c r="C53" s="2"/>
      <c r="E53" s="19"/>
      <c r="F53" s="17" t="str">
        <f t="shared" si="0"/>
        <v>поставка ТС на шасси УРАЛ</v>
      </c>
      <c r="G53" s="15" t="s">
        <v>203</v>
      </c>
      <c r="H53" s="16">
        <f t="shared" si="1"/>
        <v>0</v>
      </c>
      <c r="I53" s="15"/>
      <c r="J53" s="67" t="s">
        <v>195</v>
      </c>
      <c r="K53" s="63" t="s">
        <v>157</v>
      </c>
      <c r="L53" s="46" t="s">
        <v>158</v>
      </c>
      <c r="M53" s="46" t="s">
        <v>159</v>
      </c>
      <c r="N53" s="51">
        <v>18404999.97</v>
      </c>
      <c r="O53" s="48">
        <v>4329999.99</v>
      </c>
      <c r="P53" s="48">
        <v>14074999.98</v>
      </c>
      <c r="Q53" s="51">
        <v>0</v>
      </c>
      <c r="R53" s="52">
        <v>0</v>
      </c>
      <c r="S53" s="55">
        <v>0</v>
      </c>
      <c r="T53" s="55">
        <v>0</v>
      </c>
      <c r="U53" s="55">
        <v>0</v>
      </c>
      <c r="V53" s="55">
        <v>0</v>
      </c>
      <c r="W53" s="49">
        <f t="shared" si="4"/>
        <v>0</v>
      </c>
    </row>
    <row r="54" spans="3:23" ht="102">
      <c r="C54" s="2"/>
      <c r="E54" s="19" t="s">
        <v>22</v>
      </c>
      <c r="F54" s="17" t="str">
        <f t="shared" si="0"/>
        <v>Поставка трубной продукции для нужд подразделений АО «Сахатранснефтегаз» на 2017 год.</v>
      </c>
      <c r="G54" s="15" t="s">
        <v>227</v>
      </c>
      <c r="H54" s="16">
        <f t="shared" si="1"/>
        <v>29331339.8978</v>
      </c>
      <c r="I54" s="15" t="s">
        <v>11</v>
      </c>
      <c r="J54" s="67" t="s">
        <v>195</v>
      </c>
      <c r="K54" s="63" t="s">
        <v>10</v>
      </c>
      <c r="L54" s="46" t="s">
        <v>160</v>
      </c>
      <c r="M54" s="46" t="s">
        <v>161</v>
      </c>
      <c r="N54" s="51">
        <v>40596279.03</v>
      </c>
      <c r="O54" s="48">
        <v>7740330.454399999</v>
      </c>
      <c r="P54" s="48">
        <v>416058.8786</v>
      </c>
      <c r="Q54" s="51">
        <v>29331339.8978</v>
      </c>
      <c r="R54" s="52">
        <v>80707.516</v>
      </c>
      <c r="S54" s="55">
        <v>3027842.2871999997</v>
      </c>
      <c r="T54" s="55"/>
      <c r="U54" s="55"/>
      <c r="V54" s="55"/>
      <c r="W54" s="49">
        <f>N53-SUM(O53:V53)</f>
        <v>0</v>
      </c>
    </row>
    <row r="55" spans="3:23" ht="22.5">
      <c r="C55" s="2"/>
      <c r="E55" s="19"/>
      <c r="F55" s="17" t="str">
        <f t="shared" si="0"/>
        <v>поставка ТС на шасси УРАЛ</v>
      </c>
      <c r="G55" s="15" t="s">
        <v>196</v>
      </c>
      <c r="H55" s="16">
        <f t="shared" si="1"/>
        <v>0</v>
      </c>
      <c r="I55" s="15"/>
      <c r="J55" s="67" t="s">
        <v>195</v>
      </c>
      <c r="K55" s="63" t="s">
        <v>162</v>
      </c>
      <c r="L55" s="46" t="s">
        <v>163</v>
      </c>
      <c r="M55" s="46" t="s">
        <v>159</v>
      </c>
      <c r="N55" s="51">
        <v>3127062</v>
      </c>
      <c r="O55" s="48">
        <v>0</v>
      </c>
      <c r="P55" s="48">
        <v>3127062</v>
      </c>
      <c r="Q55" s="48">
        <v>0</v>
      </c>
      <c r="R55" s="48">
        <v>0</v>
      </c>
      <c r="S55" s="48">
        <v>0</v>
      </c>
      <c r="T55" s="48">
        <v>0</v>
      </c>
      <c r="U55" s="48">
        <v>0</v>
      </c>
      <c r="V55" s="48">
        <v>0</v>
      </c>
      <c r="W55" s="49" t="e">
        <f>#REF!-SUM(#REF!)</f>
        <v>#REF!</v>
      </c>
    </row>
    <row r="56" spans="3:23" ht="25.5">
      <c r="C56" s="2"/>
      <c r="E56" s="19"/>
      <c r="F56" s="17" t="str">
        <f t="shared" si="0"/>
        <v>Поставка ГСМ наливом с Як.нефтебазы (Лот №10)</v>
      </c>
      <c r="G56" s="15">
        <v>22.8</v>
      </c>
      <c r="H56" s="16">
        <f t="shared" si="1"/>
        <v>0</v>
      </c>
      <c r="I56" s="15"/>
      <c r="J56" s="67" t="s">
        <v>195</v>
      </c>
      <c r="K56" s="63" t="s">
        <v>37</v>
      </c>
      <c r="L56" s="46" t="s">
        <v>164</v>
      </c>
      <c r="M56" s="46" t="s">
        <v>165</v>
      </c>
      <c r="N56" s="51">
        <v>1307352</v>
      </c>
      <c r="O56" s="48"/>
      <c r="P56" s="48">
        <f>N56</f>
        <v>1307352</v>
      </c>
      <c r="Q56" s="48"/>
      <c r="R56" s="48"/>
      <c r="S56" s="48"/>
      <c r="T56" s="48"/>
      <c r="U56" s="48"/>
      <c r="V56" s="48"/>
      <c r="W56" s="49">
        <f t="shared" si="4"/>
        <v>-0.003999993205070496</v>
      </c>
    </row>
    <row r="57" spans="3:23" ht="25.5">
      <c r="C57" s="2"/>
      <c r="E57" s="19"/>
      <c r="F57" s="17" t="str">
        <f t="shared" si="0"/>
        <v>Поставка ГСМ наливом с Вил.нефтебазы (Лот №9)</v>
      </c>
      <c r="G57" s="15">
        <v>53.8</v>
      </c>
      <c r="H57" s="16">
        <f t="shared" si="1"/>
        <v>0</v>
      </c>
      <c r="I57" s="15"/>
      <c r="J57" s="67" t="s">
        <v>195</v>
      </c>
      <c r="K57" s="63" t="s">
        <v>39</v>
      </c>
      <c r="L57" s="46" t="s">
        <v>166</v>
      </c>
      <c r="M57" s="46" t="s">
        <v>167</v>
      </c>
      <c r="N57" s="51">
        <v>3254808.8</v>
      </c>
      <c r="O57" s="48">
        <v>2320713.19</v>
      </c>
      <c r="P57" s="48"/>
      <c r="Q57" s="48"/>
      <c r="R57" s="48"/>
      <c r="S57" s="48">
        <v>934095.61</v>
      </c>
      <c r="T57" s="48"/>
      <c r="U57" s="48"/>
      <c r="V57" s="48"/>
      <c r="W57" s="49">
        <f t="shared" si="4"/>
        <v>0</v>
      </c>
    </row>
    <row r="58" spans="3:23" ht="25.5">
      <c r="C58" s="2"/>
      <c r="E58" s="19"/>
      <c r="F58" s="17" t="str">
        <f t="shared" si="0"/>
        <v>Поставка ГСМ через ПК Вилюйск, Бердигестях, Якутск (Лот №6)</v>
      </c>
      <c r="G58" s="15">
        <v>12000</v>
      </c>
      <c r="H58" s="16">
        <f t="shared" si="1"/>
        <v>0</v>
      </c>
      <c r="I58" s="15"/>
      <c r="J58" s="67" t="s">
        <v>195</v>
      </c>
      <c r="K58" s="63" t="s">
        <v>39</v>
      </c>
      <c r="L58" s="46" t="s">
        <v>168</v>
      </c>
      <c r="M58" s="46" t="s">
        <v>169</v>
      </c>
      <c r="N58" s="51">
        <v>610800</v>
      </c>
      <c r="O58" s="48">
        <f>N58</f>
        <v>610800</v>
      </c>
      <c r="P58" s="48"/>
      <c r="Q58" s="48"/>
      <c r="R58" s="48"/>
      <c r="S58" s="48"/>
      <c r="T58" s="48"/>
      <c r="U58" s="48"/>
      <c r="V58" s="48"/>
      <c r="W58" s="49" t="e">
        <f>#REF!-SUM(#REF!)</f>
        <v>#REF!</v>
      </c>
    </row>
    <row r="59" spans="3:23" ht="25.5">
      <c r="C59" s="2"/>
      <c r="E59" s="19"/>
      <c r="F59" s="17" t="str">
        <f t="shared" si="0"/>
        <v>Поставка ГСМ через ПК Як, М-Канг, Горн (Орто-Сурт) (Лот №5)</v>
      </c>
      <c r="G59" s="15">
        <v>2500</v>
      </c>
      <c r="H59" s="16">
        <f t="shared" si="1"/>
        <v>0</v>
      </c>
      <c r="I59" s="15"/>
      <c r="J59" s="67" t="s">
        <v>195</v>
      </c>
      <c r="K59" s="63" t="s">
        <v>37</v>
      </c>
      <c r="L59" s="46" t="s">
        <v>170</v>
      </c>
      <c r="M59" s="46" t="s">
        <v>171</v>
      </c>
      <c r="N59" s="51">
        <v>126200</v>
      </c>
      <c r="O59" s="48">
        <f>N59</f>
        <v>126200</v>
      </c>
      <c r="P59" s="48"/>
      <c r="Q59" s="48"/>
      <c r="R59" s="48"/>
      <c r="S59" s="48"/>
      <c r="T59" s="48"/>
      <c r="U59" s="48"/>
      <c r="V59" s="48"/>
      <c r="W59" s="49" t="e">
        <f>#REF!-SUM(#REF!)</f>
        <v>#REF!</v>
      </c>
    </row>
    <row r="60" spans="3:23" ht="25.5">
      <c r="C60" s="2"/>
      <c r="E60" s="19" t="s">
        <v>19</v>
      </c>
      <c r="F60" s="17" t="str">
        <f t="shared" si="0"/>
        <v>Поставка ГСМ через ПК Вилюйск, Ханг, Ввил, Ленск, Жатай (Лот №4)</v>
      </c>
      <c r="G60" s="15">
        <v>63595</v>
      </c>
      <c r="H60" s="16">
        <f t="shared" si="1"/>
        <v>3201158</v>
      </c>
      <c r="I60" s="15"/>
      <c r="J60" s="67" t="s">
        <v>195</v>
      </c>
      <c r="K60" s="63" t="s">
        <v>39</v>
      </c>
      <c r="L60" s="46" t="s">
        <v>172</v>
      </c>
      <c r="M60" s="46" t="s">
        <v>42</v>
      </c>
      <c r="N60" s="51">
        <v>3201158</v>
      </c>
      <c r="O60" s="48"/>
      <c r="P60" s="48"/>
      <c r="Q60" s="48">
        <f>N60</f>
        <v>3201158</v>
      </c>
      <c r="R60" s="48"/>
      <c r="S60" s="48"/>
      <c r="T60" s="48"/>
      <c r="U60" s="48"/>
      <c r="V60" s="48"/>
      <c r="W60" s="49" t="e">
        <f>#REF!-SUM(#REF!)</f>
        <v>#REF!</v>
      </c>
    </row>
    <row r="61" spans="3:23" ht="25.5">
      <c r="C61" s="2"/>
      <c r="E61" s="19" t="s">
        <v>19</v>
      </c>
      <c r="F61" s="17" t="str">
        <f t="shared" si="0"/>
        <v>Поставка ГСМ через ПК Намцы, Як, М-Канг, Кобяй, Вил, Горн (Лот №3)</v>
      </c>
      <c r="G61" s="15">
        <v>140455</v>
      </c>
      <c r="H61" s="16">
        <f t="shared" si="1"/>
        <v>7070396.4</v>
      </c>
      <c r="I61" s="15"/>
      <c r="J61" s="67" t="s">
        <v>195</v>
      </c>
      <c r="K61" s="63" t="s">
        <v>37</v>
      </c>
      <c r="L61" s="46" t="s">
        <v>173</v>
      </c>
      <c r="M61" s="46" t="s">
        <v>174</v>
      </c>
      <c r="N61" s="51">
        <v>7070396.4</v>
      </c>
      <c r="O61" s="48"/>
      <c r="P61" s="48"/>
      <c r="Q61" s="48">
        <f>N61</f>
        <v>7070396.4</v>
      </c>
      <c r="R61" s="48"/>
      <c r="S61" s="48"/>
      <c r="T61" s="48"/>
      <c r="U61" s="48"/>
      <c r="V61" s="48"/>
      <c r="W61" s="49">
        <f>N56-SUM(O56:V56)</f>
        <v>0</v>
      </c>
    </row>
    <row r="62" spans="3:23" ht="25.5">
      <c r="C62" s="2"/>
      <c r="E62" s="19"/>
      <c r="F62" s="17" t="str">
        <f t="shared" si="0"/>
        <v>поставка нефтепродуктов ПК Якутск (Лот №2)</v>
      </c>
      <c r="G62" s="15"/>
      <c r="H62" s="16">
        <f t="shared" si="1"/>
        <v>0</v>
      </c>
      <c r="I62" s="15"/>
      <c r="J62" s="67" t="s">
        <v>195</v>
      </c>
      <c r="K62" s="63" t="s">
        <v>37</v>
      </c>
      <c r="L62" s="46" t="s">
        <v>175</v>
      </c>
      <c r="M62" s="46" t="s">
        <v>176</v>
      </c>
      <c r="N62" s="51">
        <v>431860</v>
      </c>
      <c r="O62" s="48"/>
      <c r="P62" s="48"/>
      <c r="Q62" s="48"/>
      <c r="R62" s="48">
        <f>N62</f>
        <v>431860</v>
      </c>
      <c r="S62" s="48"/>
      <c r="T62" s="48"/>
      <c r="U62" s="48"/>
      <c r="V62" s="48"/>
      <c r="W62" s="49">
        <f>N57-SUM(O57:V57)</f>
        <v>0</v>
      </c>
    </row>
    <row r="63" spans="3:23" ht="25.5">
      <c r="C63" s="2"/>
      <c r="E63" s="19"/>
      <c r="F63" s="17" t="str">
        <f t="shared" si="0"/>
        <v>Поставка ГСМ ПК через АЗС Як, М.-Канг.(Лот №1)</v>
      </c>
      <c r="G63" s="15">
        <v>50500</v>
      </c>
      <c r="H63" s="16">
        <f t="shared" si="1"/>
        <v>0</v>
      </c>
      <c r="I63" s="15"/>
      <c r="J63" s="67" t="s">
        <v>195</v>
      </c>
      <c r="K63" s="63" t="s">
        <v>37</v>
      </c>
      <c r="L63" s="46" t="s">
        <v>177</v>
      </c>
      <c r="M63" s="46" t="s">
        <v>178</v>
      </c>
      <c r="N63" s="51">
        <v>2567800</v>
      </c>
      <c r="O63" s="48"/>
      <c r="P63" s="48">
        <f>N63</f>
        <v>2567800</v>
      </c>
      <c r="Q63" s="48"/>
      <c r="R63" s="48"/>
      <c r="S63" s="48"/>
      <c r="T63" s="48"/>
      <c r="U63" s="48"/>
      <c r="V63" s="48"/>
      <c r="W63" s="49" t="e">
        <f>#REF!-SUM(#REF!)</f>
        <v>#REF!</v>
      </c>
    </row>
    <row r="64" spans="3:23" ht="25.5">
      <c r="C64" s="2"/>
      <c r="E64" s="19"/>
      <c r="F64" s="17" t="str">
        <f t="shared" si="0"/>
        <v>поставка запасных частей на ТС группы УРАЛ</v>
      </c>
      <c r="G64" s="15">
        <v>3695</v>
      </c>
      <c r="H64" s="16">
        <f t="shared" si="1"/>
        <v>0</v>
      </c>
      <c r="I64" s="15"/>
      <c r="J64" s="67" t="s">
        <v>195</v>
      </c>
      <c r="K64" s="63" t="s">
        <v>179</v>
      </c>
      <c r="L64" s="46" t="s">
        <v>180</v>
      </c>
      <c r="M64" s="46" t="s">
        <v>181</v>
      </c>
      <c r="N64" s="48">
        <v>4175262.81</v>
      </c>
      <c r="O64" s="52">
        <v>2746113.34</v>
      </c>
      <c r="P64" s="52">
        <v>1429149.47</v>
      </c>
      <c r="Q64" s="52">
        <v>0</v>
      </c>
      <c r="R64" s="52">
        <v>0</v>
      </c>
      <c r="S64" s="52">
        <v>0</v>
      </c>
      <c r="T64" s="52">
        <v>0</v>
      </c>
      <c r="U64" s="52">
        <v>0</v>
      </c>
      <c r="V64" s="52">
        <v>0</v>
      </c>
      <c r="W64" s="49" t="e">
        <f>#REF!-SUM(#REF!)</f>
        <v>#REF!</v>
      </c>
    </row>
    <row r="65" spans="3:23" ht="38.25">
      <c r="C65" s="2"/>
      <c r="E65" s="19" t="s">
        <v>35</v>
      </c>
      <c r="F65" s="17" t="str">
        <f t="shared" si="0"/>
        <v>Поставка ТС группы ЛАДА для нужд подразделения УГРС АО "Сахатранснефтегаз"</v>
      </c>
      <c r="G65" s="15">
        <v>6</v>
      </c>
      <c r="H65" s="16">
        <f t="shared" si="1"/>
        <v>3902400</v>
      </c>
      <c r="I65" s="15" t="s">
        <v>18</v>
      </c>
      <c r="J65" s="67" t="s">
        <v>195</v>
      </c>
      <c r="K65" s="63" t="s">
        <v>17</v>
      </c>
      <c r="L65" s="46" t="s">
        <v>182</v>
      </c>
      <c r="M65" s="46" t="s">
        <v>183</v>
      </c>
      <c r="N65" s="51">
        <v>3902400</v>
      </c>
      <c r="O65" s="48"/>
      <c r="P65" s="48"/>
      <c r="Q65" s="48">
        <f>N65</f>
        <v>3902400</v>
      </c>
      <c r="R65" s="48"/>
      <c r="S65" s="48"/>
      <c r="T65" s="48"/>
      <c r="U65" s="48"/>
      <c r="V65" s="48"/>
      <c r="W65" s="49">
        <f>N58-SUM(O58:V58)</f>
        <v>0</v>
      </c>
    </row>
    <row r="66" spans="3:23" ht="38.25">
      <c r="C66" s="2"/>
      <c r="E66" s="19" t="s">
        <v>35</v>
      </c>
      <c r="F66" s="17" t="str">
        <f t="shared" si="0"/>
        <v>Поставка ТС группы ГАЗ для нужд подразделения УГРС АО "Сахатранснефтегаз"</v>
      </c>
      <c r="G66" s="15">
        <v>4</v>
      </c>
      <c r="H66" s="16">
        <f t="shared" si="1"/>
        <v>4980000</v>
      </c>
      <c r="I66" s="15" t="s">
        <v>18</v>
      </c>
      <c r="J66" s="67" t="s">
        <v>195</v>
      </c>
      <c r="K66" s="63" t="s">
        <v>17</v>
      </c>
      <c r="L66" s="46" t="s">
        <v>184</v>
      </c>
      <c r="M66" s="46" t="s">
        <v>185</v>
      </c>
      <c r="N66" s="51">
        <v>4980000</v>
      </c>
      <c r="O66" s="48"/>
      <c r="P66" s="48"/>
      <c r="Q66" s="48">
        <f>N66</f>
        <v>4980000</v>
      </c>
      <c r="R66" s="48"/>
      <c r="S66" s="48"/>
      <c r="T66" s="48"/>
      <c r="U66" s="48"/>
      <c r="V66" s="48"/>
      <c r="W66" s="49">
        <f>N59-SUM(O59:V59)</f>
        <v>0</v>
      </c>
    </row>
    <row r="67" spans="3:23" ht="38.25">
      <c r="C67" s="2"/>
      <c r="E67" s="19" t="s">
        <v>24</v>
      </c>
      <c r="F67" s="17" t="str">
        <f t="shared" si="0"/>
        <v>Поставка компрессора  Аирман для нужд подразделения УГРС АО "Сахатранснефтегаз" </v>
      </c>
      <c r="G67" s="15" t="s">
        <v>221</v>
      </c>
      <c r="H67" s="16">
        <f t="shared" si="1"/>
        <v>1120000</v>
      </c>
      <c r="I67" s="15" t="s">
        <v>18</v>
      </c>
      <c r="J67" s="67" t="s">
        <v>195</v>
      </c>
      <c r="K67" s="63" t="s">
        <v>40</v>
      </c>
      <c r="L67" s="46" t="s">
        <v>186</v>
      </c>
      <c r="M67" s="46" t="s">
        <v>187</v>
      </c>
      <c r="N67" s="51">
        <v>1120000</v>
      </c>
      <c r="O67" s="48"/>
      <c r="P67" s="48"/>
      <c r="Q67" s="48">
        <f>N67</f>
        <v>1120000</v>
      </c>
      <c r="R67" s="48"/>
      <c r="S67" s="48"/>
      <c r="T67" s="48"/>
      <c r="U67" s="48"/>
      <c r="V67" s="48"/>
      <c r="W67" s="49">
        <f>N60-SUM(O60:V60)</f>
        <v>0</v>
      </c>
    </row>
    <row r="68" spans="3:22" ht="12.75">
      <c r="C68" s="2"/>
      <c r="F68" s="31"/>
      <c r="H68" s="57">
        <f>SUM(H12:H67)</f>
        <v>109409385.33700001</v>
      </c>
      <c r="K68" s="39"/>
      <c r="L68" s="5"/>
      <c r="M68" s="5"/>
      <c r="N68" s="6">
        <f>SUM(N12:N67)</f>
        <v>269839674.19</v>
      </c>
      <c r="O68" s="6">
        <f aca="true" t="shared" si="5" ref="O68:U68">SUM(O12:O67)</f>
        <v>62398493.641200006</v>
      </c>
      <c r="P68" s="6">
        <f t="shared" si="5"/>
        <v>89574762.221</v>
      </c>
      <c r="Q68" s="6">
        <f t="shared" si="5"/>
        <v>109409385.33700001</v>
      </c>
      <c r="R68" s="6">
        <f t="shared" si="5"/>
        <v>512567.516</v>
      </c>
      <c r="S68" s="6">
        <f t="shared" si="5"/>
        <v>7200476.7638</v>
      </c>
      <c r="T68" s="6">
        <f t="shared" si="5"/>
        <v>0</v>
      </c>
      <c r="U68" s="6">
        <f t="shared" si="5"/>
        <v>744000</v>
      </c>
      <c r="V68" s="5"/>
    </row>
    <row r="69" spans="3:24" ht="33.75">
      <c r="C69" s="2"/>
      <c r="E69" s="19" t="s">
        <v>24</v>
      </c>
      <c r="F69" s="17"/>
      <c r="G69" s="15"/>
      <c r="H69" s="90">
        <f>Q69</f>
        <v>0</v>
      </c>
      <c r="I69" s="15"/>
      <c r="J69" s="82" t="s">
        <v>276</v>
      </c>
      <c r="K69" s="83" t="s">
        <v>76</v>
      </c>
      <c r="L69" s="84" t="s">
        <v>277</v>
      </c>
      <c r="M69" s="84" t="s">
        <v>278</v>
      </c>
      <c r="N69" s="85">
        <v>2701138</v>
      </c>
      <c r="O69" s="86">
        <f>N69</f>
        <v>2701138</v>
      </c>
      <c r="P69" s="86"/>
      <c r="Q69" s="86"/>
      <c r="R69" s="86"/>
      <c r="S69" s="86"/>
      <c r="T69" s="86"/>
      <c r="U69" s="86"/>
      <c r="V69" s="86"/>
      <c r="W69" s="87" t="s">
        <v>279</v>
      </c>
      <c r="X69" s="49">
        <f>N69-SUM(O69:V69)</f>
        <v>0</v>
      </c>
    </row>
    <row r="70" spans="3:24" ht="22.5">
      <c r="C70" s="2"/>
      <c r="E70" s="19" t="s">
        <v>24</v>
      </c>
      <c r="F70" s="17"/>
      <c r="G70" s="15"/>
      <c r="H70" s="90">
        <f aca="true" t="shared" si="6" ref="H70:H96">Q70</f>
        <v>0</v>
      </c>
      <c r="I70" s="15"/>
      <c r="J70" s="64" t="s">
        <v>276</v>
      </c>
      <c r="K70" s="63" t="s">
        <v>280</v>
      </c>
      <c r="L70" s="46" t="s">
        <v>281</v>
      </c>
      <c r="M70" s="46" t="s">
        <v>282</v>
      </c>
      <c r="N70" s="88">
        <v>3649999.98</v>
      </c>
      <c r="O70" s="48"/>
      <c r="P70" s="48">
        <f>N70</f>
        <v>3649999.98</v>
      </c>
      <c r="Q70" s="48"/>
      <c r="R70" s="48"/>
      <c r="S70" s="48"/>
      <c r="T70" s="48"/>
      <c r="U70" s="48"/>
      <c r="V70" s="48"/>
      <c r="W70" s="2" t="s">
        <v>54</v>
      </c>
      <c r="X70" s="49">
        <f aca="true" t="shared" si="7" ref="X70:X96">N70-SUM(O70:V70)</f>
        <v>0</v>
      </c>
    </row>
    <row r="71" spans="3:24" ht="102">
      <c r="C71" s="2"/>
      <c r="E71" s="89" t="s">
        <v>22</v>
      </c>
      <c r="F71" s="17"/>
      <c r="G71" s="32" t="s">
        <v>340</v>
      </c>
      <c r="H71" s="102">
        <f t="shared" si="6"/>
        <v>1200000</v>
      </c>
      <c r="I71" s="32" t="s">
        <v>18</v>
      </c>
      <c r="J71" s="64" t="s">
        <v>276</v>
      </c>
      <c r="K71" s="63" t="s">
        <v>283</v>
      </c>
      <c r="L71" s="46" t="s">
        <v>284</v>
      </c>
      <c r="M71" s="46" t="s">
        <v>285</v>
      </c>
      <c r="N71" s="88">
        <v>1200000</v>
      </c>
      <c r="O71" s="48"/>
      <c r="P71" s="48"/>
      <c r="Q71" s="48">
        <f>N71</f>
        <v>1200000</v>
      </c>
      <c r="R71" s="48"/>
      <c r="S71" s="48"/>
      <c r="T71" s="48"/>
      <c r="U71" s="48"/>
      <c r="V71" s="48"/>
      <c r="W71" s="2" t="s">
        <v>38</v>
      </c>
      <c r="X71" s="49">
        <f t="shared" si="7"/>
        <v>0</v>
      </c>
    </row>
    <row r="72" spans="3:24" ht="102">
      <c r="C72" s="2"/>
      <c r="E72" s="89" t="s">
        <v>22</v>
      </c>
      <c r="F72" s="17"/>
      <c r="G72" s="15"/>
      <c r="H72" s="90">
        <f t="shared" si="6"/>
        <v>0</v>
      </c>
      <c r="I72" s="15"/>
      <c r="J72" s="64" t="s">
        <v>276</v>
      </c>
      <c r="K72" s="63" t="s">
        <v>131</v>
      </c>
      <c r="L72" s="46" t="s">
        <v>286</v>
      </c>
      <c r="M72" s="46" t="s">
        <v>287</v>
      </c>
      <c r="N72" s="88">
        <v>3470000</v>
      </c>
      <c r="O72" s="48">
        <f>N72</f>
        <v>3470000</v>
      </c>
      <c r="P72" s="48"/>
      <c r="Q72" s="48"/>
      <c r="R72" s="48"/>
      <c r="S72" s="48"/>
      <c r="T72" s="48"/>
      <c r="U72" s="48"/>
      <c r="V72" s="48"/>
      <c r="W72" s="2" t="s">
        <v>279</v>
      </c>
      <c r="X72" s="49">
        <f t="shared" si="7"/>
        <v>0</v>
      </c>
    </row>
    <row r="73" spans="3:24" ht="22.5">
      <c r="C73" s="2"/>
      <c r="E73" s="89" t="s">
        <v>33</v>
      </c>
      <c r="F73" s="17"/>
      <c r="G73" s="32" t="s">
        <v>343</v>
      </c>
      <c r="H73" s="102">
        <f t="shared" si="6"/>
        <v>7169926.62</v>
      </c>
      <c r="I73" s="32" t="s">
        <v>11</v>
      </c>
      <c r="J73" s="64" t="s">
        <v>276</v>
      </c>
      <c r="K73" s="63" t="s">
        <v>288</v>
      </c>
      <c r="L73" s="46" t="s">
        <v>289</v>
      </c>
      <c r="M73" s="46" t="s">
        <v>290</v>
      </c>
      <c r="N73" s="88">
        <v>9545087.85</v>
      </c>
      <c r="O73" s="48">
        <v>540797.54</v>
      </c>
      <c r="P73" s="48">
        <v>727251.1100000001</v>
      </c>
      <c r="Q73" s="48">
        <v>7169926.62</v>
      </c>
      <c r="R73" s="48">
        <v>403961.20000000007</v>
      </c>
      <c r="S73" s="48">
        <v>489095.83999999997</v>
      </c>
      <c r="T73" s="48"/>
      <c r="U73" s="48"/>
      <c r="V73" s="48">
        <v>214055.54000000004</v>
      </c>
      <c r="W73" s="91" t="s">
        <v>291</v>
      </c>
      <c r="X73" s="49">
        <f t="shared" si="7"/>
        <v>0</v>
      </c>
    </row>
    <row r="74" spans="3:24" ht="22.5">
      <c r="C74" s="2"/>
      <c r="E74" s="89" t="s">
        <v>33</v>
      </c>
      <c r="F74" s="17"/>
      <c r="G74" s="32" t="s">
        <v>342</v>
      </c>
      <c r="H74" s="102">
        <f t="shared" si="6"/>
        <v>16497.58</v>
      </c>
      <c r="I74" s="15"/>
      <c r="J74" s="64" t="s">
        <v>292</v>
      </c>
      <c r="K74" s="63" t="s">
        <v>288</v>
      </c>
      <c r="L74" s="46" t="s">
        <v>293</v>
      </c>
      <c r="M74" s="46" t="s">
        <v>290</v>
      </c>
      <c r="N74" s="51">
        <v>746386.58</v>
      </c>
      <c r="O74" s="48">
        <v>729889</v>
      </c>
      <c r="P74" s="48"/>
      <c r="Q74" s="48">
        <v>16497.58</v>
      </c>
      <c r="R74" s="48"/>
      <c r="S74" s="48"/>
      <c r="T74" s="48"/>
      <c r="U74" s="48"/>
      <c r="V74" s="48"/>
      <c r="W74" s="91"/>
      <c r="X74" s="49">
        <f t="shared" si="7"/>
        <v>0</v>
      </c>
    </row>
    <row r="75" spans="3:24" ht="22.5">
      <c r="C75" s="2"/>
      <c r="E75" s="89" t="s">
        <v>33</v>
      </c>
      <c r="F75" s="17"/>
      <c r="G75" s="32" t="s">
        <v>344</v>
      </c>
      <c r="H75" s="102">
        <f t="shared" si="6"/>
        <v>4373954.61</v>
      </c>
      <c r="I75" s="32" t="s">
        <v>11</v>
      </c>
      <c r="J75" s="64" t="s">
        <v>276</v>
      </c>
      <c r="K75" s="63" t="s">
        <v>288</v>
      </c>
      <c r="L75" s="46" t="s">
        <v>294</v>
      </c>
      <c r="M75" s="46" t="s">
        <v>295</v>
      </c>
      <c r="N75" s="88">
        <v>9781204.08</v>
      </c>
      <c r="O75" s="48">
        <v>1044423.31</v>
      </c>
      <c r="P75" s="48">
        <v>3232349.809999999</v>
      </c>
      <c r="Q75" s="48">
        <v>4373954.61</v>
      </c>
      <c r="R75" s="39">
        <v>535251.86</v>
      </c>
      <c r="S75" s="48">
        <v>453739.5</v>
      </c>
      <c r="T75" s="48"/>
      <c r="U75" s="48"/>
      <c r="V75" s="48">
        <v>142402.99000000002</v>
      </c>
      <c r="W75" s="91" t="s">
        <v>291</v>
      </c>
      <c r="X75" s="49">
        <f>N75-SUM(O75:V75)</f>
        <v>-918</v>
      </c>
    </row>
    <row r="76" spans="3:24" ht="22.5">
      <c r="C76" s="2"/>
      <c r="E76" s="89" t="s">
        <v>33</v>
      </c>
      <c r="F76" s="17"/>
      <c r="G76" s="32" t="s">
        <v>345</v>
      </c>
      <c r="H76" s="102">
        <f t="shared" si="6"/>
        <v>85025.49</v>
      </c>
      <c r="I76" s="15"/>
      <c r="J76" s="64" t="s">
        <v>292</v>
      </c>
      <c r="K76" s="63" t="s">
        <v>288</v>
      </c>
      <c r="L76" s="46" t="s">
        <v>296</v>
      </c>
      <c r="M76" s="46" t="s">
        <v>295</v>
      </c>
      <c r="N76" s="51">
        <v>85025.49</v>
      </c>
      <c r="O76" s="48"/>
      <c r="P76" s="48"/>
      <c r="Q76" s="48">
        <f>N76</f>
        <v>85025.49</v>
      </c>
      <c r="R76" s="48"/>
      <c r="S76" s="48"/>
      <c r="T76" s="48"/>
      <c r="U76" s="48"/>
      <c r="V76" s="48"/>
      <c r="W76" s="91"/>
      <c r="X76" s="49">
        <f t="shared" si="7"/>
        <v>0</v>
      </c>
    </row>
    <row r="77" spans="3:24" ht="33.75">
      <c r="C77" s="2"/>
      <c r="E77" s="89" t="s">
        <v>24</v>
      </c>
      <c r="F77" s="17"/>
      <c r="G77" s="15"/>
      <c r="H77" s="90">
        <f t="shared" si="6"/>
        <v>0</v>
      </c>
      <c r="I77" s="15"/>
      <c r="J77" s="64" t="s">
        <v>276</v>
      </c>
      <c r="K77" s="63" t="s">
        <v>297</v>
      </c>
      <c r="L77" s="46" t="s">
        <v>298</v>
      </c>
      <c r="M77" s="46" t="s">
        <v>299</v>
      </c>
      <c r="N77" s="88">
        <v>2228050.01</v>
      </c>
      <c r="O77" s="48">
        <f>N77</f>
        <v>2228050.01</v>
      </c>
      <c r="P77" s="48"/>
      <c r="Q77" s="48"/>
      <c r="R77" s="48"/>
      <c r="S77" s="48"/>
      <c r="T77" s="48"/>
      <c r="U77" s="48"/>
      <c r="V77" s="48"/>
      <c r="W77" s="91" t="s">
        <v>279</v>
      </c>
      <c r="X77" s="49">
        <f t="shared" si="7"/>
        <v>0</v>
      </c>
    </row>
    <row r="78" spans="3:24" ht="22.5">
      <c r="C78" s="2"/>
      <c r="E78" s="89" t="s">
        <v>33</v>
      </c>
      <c r="F78" s="17"/>
      <c r="G78" s="15"/>
      <c r="H78" s="90">
        <f t="shared" si="6"/>
        <v>0</v>
      </c>
      <c r="I78" s="15"/>
      <c r="J78" s="64" t="s">
        <v>276</v>
      </c>
      <c r="K78" s="63" t="s">
        <v>300</v>
      </c>
      <c r="L78" s="46" t="s">
        <v>301</v>
      </c>
      <c r="M78" s="46" t="s">
        <v>302</v>
      </c>
      <c r="N78" s="88">
        <f>11447918.9396*0</f>
        <v>0</v>
      </c>
      <c r="O78" s="48"/>
      <c r="P78" s="48"/>
      <c r="Q78" s="48"/>
      <c r="R78" s="48"/>
      <c r="S78" s="48"/>
      <c r="T78" s="48"/>
      <c r="U78" s="48"/>
      <c r="V78" s="48"/>
      <c r="W78" s="91" t="s">
        <v>291</v>
      </c>
      <c r="X78" s="49">
        <f t="shared" si="7"/>
        <v>0</v>
      </c>
    </row>
    <row r="79" spans="3:24" ht="22.5">
      <c r="C79" s="2"/>
      <c r="E79" s="89" t="s">
        <v>33</v>
      </c>
      <c r="F79" s="17"/>
      <c r="G79" s="15"/>
      <c r="H79" s="90">
        <f t="shared" si="6"/>
        <v>0</v>
      </c>
      <c r="I79" s="15"/>
      <c r="J79" s="64" t="s">
        <v>276</v>
      </c>
      <c r="K79" s="63" t="s">
        <v>300</v>
      </c>
      <c r="L79" s="46" t="s">
        <v>303</v>
      </c>
      <c r="M79" s="46" t="s">
        <v>302</v>
      </c>
      <c r="N79" s="88">
        <v>0</v>
      </c>
      <c r="O79" s="48"/>
      <c r="P79" s="48"/>
      <c r="Q79" s="48"/>
      <c r="R79" s="48"/>
      <c r="S79" s="48"/>
      <c r="T79" s="48"/>
      <c r="U79" s="48"/>
      <c r="V79" s="48"/>
      <c r="W79" s="91"/>
      <c r="X79" s="49">
        <f t="shared" si="7"/>
        <v>0</v>
      </c>
    </row>
    <row r="80" spans="3:24" ht="22.5">
      <c r="C80" s="2"/>
      <c r="E80" s="89" t="s">
        <v>33</v>
      </c>
      <c r="F80" s="17"/>
      <c r="G80" s="32" t="s">
        <v>341</v>
      </c>
      <c r="H80" s="102">
        <f t="shared" si="6"/>
        <v>6708252.740999998</v>
      </c>
      <c r="I80" s="15"/>
      <c r="J80" s="64" t="s">
        <v>304</v>
      </c>
      <c r="K80" s="63" t="s">
        <v>300</v>
      </c>
      <c r="L80" s="46" t="s">
        <v>305</v>
      </c>
      <c r="M80" s="46" t="s">
        <v>302</v>
      </c>
      <c r="N80" s="51">
        <v>12080698.140399996</v>
      </c>
      <c r="O80" s="48">
        <v>1758246.0672</v>
      </c>
      <c r="P80" s="48">
        <v>2036500.8995999997</v>
      </c>
      <c r="Q80" s="48">
        <v>6708252.740999998</v>
      </c>
      <c r="R80" s="48">
        <v>834689.0007999999</v>
      </c>
      <c r="S80" s="48">
        <v>474914.94219999993</v>
      </c>
      <c r="T80" s="48"/>
      <c r="U80" s="48"/>
      <c r="V80" s="48">
        <v>268094.4896</v>
      </c>
      <c r="W80" s="91"/>
      <c r="X80" s="49">
        <f t="shared" si="7"/>
        <v>0</v>
      </c>
    </row>
    <row r="81" spans="3:24" ht="22.5">
      <c r="C81" s="2"/>
      <c r="E81" s="89" t="s">
        <v>24</v>
      </c>
      <c r="F81" s="17"/>
      <c r="G81" s="15"/>
      <c r="H81" s="90">
        <f t="shared" si="6"/>
        <v>0</v>
      </c>
      <c r="I81" s="15"/>
      <c r="J81" s="64" t="s">
        <v>276</v>
      </c>
      <c r="K81" s="63" t="s">
        <v>306</v>
      </c>
      <c r="L81" s="46" t="s">
        <v>307</v>
      </c>
      <c r="M81" s="46" t="s">
        <v>308</v>
      </c>
      <c r="N81" s="88">
        <v>2400000</v>
      </c>
      <c r="O81" s="48"/>
      <c r="P81" s="48">
        <f>N81</f>
        <v>2400000</v>
      </c>
      <c r="Q81" s="48"/>
      <c r="R81" s="48"/>
      <c r="S81" s="48"/>
      <c r="T81" s="48"/>
      <c r="U81" s="48"/>
      <c r="V81" s="48"/>
      <c r="W81" s="91" t="s">
        <v>54</v>
      </c>
      <c r="X81" s="49">
        <f t="shared" si="7"/>
        <v>0</v>
      </c>
    </row>
    <row r="82" spans="3:24" ht="22.5">
      <c r="C82" s="2"/>
      <c r="E82" s="89" t="s">
        <v>35</v>
      </c>
      <c r="F82" s="17"/>
      <c r="G82" s="15"/>
      <c r="H82" s="90">
        <f t="shared" si="6"/>
        <v>0</v>
      </c>
      <c r="I82" s="15"/>
      <c r="J82" s="64" t="s">
        <v>276</v>
      </c>
      <c r="K82" s="63" t="s">
        <v>309</v>
      </c>
      <c r="L82" s="46" t="s">
        <v>310</v>
      </c>
      <c r="M82" s="46" t="s">
        <v>311</v>
      </c>
      <c r="N82" s="88">
        <v>5183325</v>
      </c>
      <c r="O82" s="48">
        <f>N82</f>
        <v>5183325</v>
      </c>
      <c r="P82" s="48"/>
      <c r="Q82" s="48"/>
      <c r="R82" s="48"/>
      <c r="S82" s="48"/>
      <c r="T82" s="48"/>
      <c r="U82" s="48"/>
      <c r="V82" s="48"/>
      <c r="W82" s="91" t="s">
        <v>53</v>
      </c>
      <c r="X82" s="49">
        <f t="shared" si="7"/>
        <v>0</v>
      </c>
    </row>
    <row r="83" spans="3:24" ht="22.5">
      <c r="C83" s="2"/>
      <c r="E83" s="89" t="s">
        <v>24</v>
      </c>
      <c r="F83" s="17"/>
      <c r="G83" s="15" t="s">
        <v>211</v>
      </c>
      <c r="H83" s="90">
        <f t="shared" si="6"/>
        <v>1215800</v>
      </c>
      <c r="I83" s="15" t="s">
        <v>18</v>
      </c>
      <c r="J83" s="64" t="s">
        <v>276</v>
      </c>
      <c r="K83" s="63" t="s">
        <v>312</v>
      </c>
      <c r="L83" s="46" t="s">
        <v>313</v>
      </c>
      <c r="M83" s="46" t="s">
        <v>314</v>
      </c>
      <c r="N83" s="88">
        <v>1215800</v>
      </c>
      <c r="O83" s="48"/>
      <c r="P83" s="48"/>
      <c r="Q83" s="48">
        <f>N83</f>
        <v>1215800</v>
      </c>
      <c r="R83" s="48"/>
      <c r="S83" s="48"/>
      <c r="T83" s="48"/>
      <c r="U83" s="48"/>
      <c r="V83" s="48"/>
      <c r="W83" s="91" t="s">
        <v>38</v>
      </c>
      <c r="X83" s="49">
        <f t="shared" si="7"/>
        <v>0</v>
      </c>
    </row>
    <row r="84" spans="3:24" ht="51">
      <c r="C84" s="2"/>
      <c r="E84" s="89" t="s">
        <v>21</v>
      </c>
      <c r="F84" s="17"/>
      <c r="G84" s="32" t="s">
        <v>346</v>
      </c>
      <c r="H84" s="102">
        <f t="shared" si="6"/>
        <v>4489457.5</v>
      </c>
      <c r="I84" s="15" t="s">
        <v>11</v>
      </c>
      <c r="J84" s="64" t="s">
        <v>292</v>
      </c>
      <c r="K84" s="63" t="s">
        <v>315</v>
      </c>
      <c r="L84" s="46" t="s">
        <v>316</v>
      </c>
      <c r="M84" s="46" t="s">
        <v>317</v>
      </c>
      <c r="N84" s="51">
        <v>4489457.5</v>
      </c>
      <c r="O84" s="48"/>
      <c r="P84" s="48"/>
      <c r="Q84" s="48">
        <f>N84</f>
        <v>4489457.5</v>
      </c>
      <c r="R84" s="48"/>
      <c r="S84" s="48"/>
      <c r="T84" s="48"/>
      <c r="U84" s="48"/>
      <c r="V84" s="48"/>
      <c r="W84" s="91" t="s">
        <v>38</v>
      </c>
      <c r="X84" s="49">
        <f t="shared" si="7"/>
        <v>0</v>
      </c>
    </row>
    <row r="85" spans="3:24" ht="22.5">
      <c r="C85" s="2"/>
      <c r="E85" s="89" t="s">
        <v>23</v>
      </c>
      <c r="F85" s="17"/>
      <c r="G85" s="32" t="s">
        <v>347</v>
      </c>
      <c r="H85" s="102">
        <f t="shared" si="6"/>
        <v>1065250.01</v>
      </c>
      <c r="I85" s="15"/>
      <c r="J85" s="64" t="s">
        <v>292</v>
      </c>
      <c r="K85" s="63" t="s">
        <v>16</v>
      </c>
      <c r="L85" s="46" t="s">
        <v>318</v>
      </c>
      <c r="M85" s="46" t="s">
        <v>319</v>
      </c>
      <c r="N85" s="51">
        <v>2440968.65</v>
      </c>
      <c r="O85" s="48"/>
      <c r="P85" s="48">
        <v>1375718.64</v>
      </c>
      <c r="Q85" s="48">
        <v>1065250.01</v>
      </c>
      <c r="R85" s="48"/>
      <c r="S85" s="48"/>
      <c r="T85" s="48"/>
      <c r="U85" s="48"/>
      <c r="V85" s="48"/>
      <c r="W85" s="91" t="s">
        <v>320</v>
      </c>
      <c r="X85" s="49">
        <f t="shared" si="7"/>
        <v>0</v>
      </c>
    </row>
    <row r="86" spans="3:24" ht="22.5">
      <c r="C86" s="2"/>
      <c r="E86" s="89" t="s">
        <v>35</v>
      </c>
      <c r="F86" s="17"/>
      <c r="G86" s="15"/>
      <c r="H86" s="90">
        <f t="shared" si="6"/>
        <v>0</v>
      </c>
      <c r="I86" s="15"/>
      <c r="J86" s="64" t="s">
        <v>292</v>
      </c>
      <c r="K86" s="63" t="s">
        <v>321</v>
      </c>
      <c r="L86" s="46" t="s">
        <v>322</v>
      </c>
      <c r="M86" s="46" t="s">
        <v>323</v>
      </c>
      <c r="N86" s="51">
        <v>7550000</v>
      </c>
      <c r="O86" s="48"/>
      <c r="P86" s="48">
        <f>N86</f>
        <v>7550000</v>
      </c>
      <c r="Q86" s="48"/>
      <c r="R86" s="48"/>
      <c r="S86" s="48"/>
      <c r="T86" s="48"/>
      <c r="U86" s="48"/>
      <c r="V86" s="48"/>
      <c r="W86" s="91" t="s">
        <v>54</v>
      </c>
      <c r="X86" s="49">
        <f t="shared" si="7"/>
        <v>0</v>
      </c>
    </row>
    <row r="87" spans="3:24" ht="22.5">
      <c r="C87" s="2"/>
      <c r="E87" s="89" t="s">
        <v>35</v>
      </c>
      <c r="F87" s="17"/>
      <c r="G87" s="15"/>
      <c r="H87" s="90">
        <f t="shared" si="6"/>
        <v>0</v>
      </c>
      <c r="I87" s="15"/>
      <c r="J87" s="64" t="s">
        <v>292</v>
      </c>
      <c r="K87" s="63" t="s">
        <v>324</v>
      </c>
      <c r="L87" s="46" t="s">
        <v>325</v>
      </c>
      <c r="M87" s="46" t="s">
        <v>326</v>
      </c>
      <c r="N87" s="51">
        <v>6065200</v>
      </c>
      <c r="O87" s="48">
        <f>N87</f>
        <v>6065200</v>
      </c>
      <c r="P87" s="48"/>
      <c r="Q87" s="48"/>
      <c r="R87" s="48"/>
      <c r="S87" s="48"/>
      <c r="T87" s="48"/>
      <c r="U87" s="48"/>
      <c r="V87" s="48"/>
      <c r="W87" s="91" t="s">
        <v>53</v>
      </c>
      <c r="X87" s="49">
        <f t="shared" si="7"/>
        <v>0</v>
      </c>
    </row>
    <row r="88" spans="3:24" ht="22.5">
      <c r="C88" s="2"/>
      <c r="E88" s="89" t="s">
        <v>23</v>
      </c>
      <c r="F88" s="17"/>
      <c r="G88" s="15"/>
      <c r="H88" s="90">
        <f t="shared" si="6"/>
        <v>0</v>
      </c>
      <c r="I88" s="15"/>
      <c r="J88" s="64" t="s">
        <v>292</v>
      </c>
      <c r="K88" s="63" t="s">
        <v>327</v>
      </c>
      <c r="L88" s="46" t="s">
        <v>328</v>
      </c>
      <c r="M88" s="46" t="s">
        <v>319</v>
      </c>
      <c r="N88" s="51">
        <v>925036.88</v>
      </c>
      <c r="O88" s="48">
        <v>746856.88</v>
      </c>
      <c r="P88" s="48"/>
      <c r="Q88" s="48"/>
      <c r="R88" s="48"/>
      <c r="S88" s="48">
        <v>178180</v>
      </c>
      <c r="T88" s="48"/>
      <c r="U88" s="48"/>
      <c r="V88" s="48"/>
      <c r="W88" s="91" t="s">
        <v>329</v>
      </c>
      <c r="X88" s="49">
        <f t="shared" si="7"/>
        <v>0</v>
      </c>
    </row>
    <row r="89" spans="3:24" ht="22.5">
      <c r="C89" s="2"/>
      <c r="E89" s="89" t="s">
        <v>24</v>
      </c>
      <c r="F89" s="17"/>
      <c r="G89" s="15"/>
      <c r="H89" s="90">
        <f t="shared" si="6"/>
        <v>0</v>
      </c>
      <c r="I89" s="15"/>
      <c r="J89" s="64" t="s">
        <v>304</v>
      </c>
      <c r="K89" s="63" t="s">
        <v>330</v>
      </c>
      <c r="L89" s="46" t="s">
        <v>331</v>
      </c>
      <c r="M89" s="46" t="s">
        <v>332</v>
      </c>
      <c r="N89" s="51">
        <v>650000</v>
      </c>
      <c r="O89" s="48"/>
      <c r="P89" s="48">
        <f>N89</f>
        <v>650000</v>
      </c>
      <c r="Q89" s="48"/>
      <c r="R89" s="48"/>
      <c r="S89" s="48"/>
      <c r="T89" s="48"/>
      <c r="U89" s="48"/>
      <c r="V89" s="48"/>
      <c r="W89" s="91" t="s">
        <v>54</v>
      </c>
      <c r="X89" s="49">
        <f t="shared" si="7"/>
        <v>0</v>
      </c>
    </row>
    <row r="90" spans="3:24" ht="12.75">
      <c r="C90" s="2"/>
      <c r="E90" s="89" t="s">
        <v>19</v>
      </c>
      <c r="F90" s="17"/>
      <c r="G90" s="15"/>
      <c r="H90" s="90">
        <f t="shared" si="6"/>
        <v>0</v>
      </c>
      <c r="I90" s="15"/>
      <c r="J90" s="64" t="s">
        <v>304</v>
      </c>
      <c r="K90" s="63" t="s">
        <v>333</v>
      </c>
      <c r="L90" s="46"/>
      <c r="M90" s="46" t="s">
        <v>334</v>
      </c>
      <c r="N90" s="51">
        <v>2644200</v>
      </c>
      <c r="O90" s="48"/>
      <c r="P90" s="48">
        <f>N90</f>
        <v>2644200</v>
      </c>
      <c r="Q90" s="48"/>
      <c r="R90" s="48"/>
      <c r="S90" s="48"/>
      <c r="T90" s="48"/>
      <c r="U90" s="48"/>
      <c r="V90" s="48"/>
      <c r="W90" s="2"/>
      <c r="X90" s="49">
        <f t="shared" si="7"/>
        <v>0</v>
      </c>
    </row>
    <row r="91" spans="3:24" ht="12.75">
      <c r="C91" s="2"/>
      <c r="E91" s="89" t="s">
        <v>19</v>
      </c>
      <c r="F91" s="17" t="s">
        <v>359</v>
      </c>
      <c r="G91" s="103">
        <v>131715</v>
      </c>
      <c r="H91" s="102">
        <f t="shared" si="6"/>
        <v>6647457.6</v>
      </c>
      <c r="I91" s="15"/>
      <c r="J91" s="64" t="s">
        <v>304</v>
      </c>
      <c r="K91" s="63" t="s">
        <v>333</v>
      </c>
      <c r="L91" s="46"/>
      <c r="M91" s="46" t="s">
        <v>335</v>
      </c>
      <c r="N91" s="51">
        <v>6647457.6</v>
      </c>
      <c r="O91" s="48"/>
      <c r="P91" s="48"/>
      <c r="Q91" s="48">
        <f>N91</f>
        <v>6647457.6</v>
      </c>
      <c r="R91" s="48"/>
      <c r="S91" s="48"/>
      <c r="T91" s="48"/>
      <c r="U91" s="48"/>
      <c r="V91" s="48"/>
      <c r="W91" s="2"/>
      <c r="X91" s="49">
        <f t="shared" si="7"/>
        <v>0</v>
      </c>
    </row>
    <row r="92" spans="3:24" ht="12.75">
      <c r="C92" s="2"/>
      <c r="E92" s="89" t="s">
        <v>19</v>
      </c>
      <c r="F92" s="17" t="s">
        <v>359</v>
      </c>
      <c r="G92" s="103">
        <v>51960</v>
      </c>
      <c r="H92" s="102">
        <f t="shared" si="6"/>
        <v>2615928</v>
      </c>
      <c r="I92" s="15"/>
      <c r="J92" s="64" t="s">
        <v>304</v>
      </c>
      <c r="K92" s="63" t="s">
        <v>336</v>
      </c>
      <c r="L92" s="46"/>
      <c r="M92" s="46" t="s">
        <v>335</v>
      </c>
      <c r="N92" s="51">
        <v>2615928</v>
      </c>
      <c r="O92" s="48"/>
      <c r="P92" s="48"/>
      <c r="Q92" s="48">
        <f>N92</f>
        <v>2615928</v>
      </c>
      <c r="R92" s="48"/>
      <c r="S92" s="48"/>
      <c r="T92" s="48"/>
      <c r="U92" s="48"/>
      <c r="V92" s="48"/>
      <c r="W92" s="2"/>
      <c r="X92" s="49">
        <f t="shared" si="7"/>
        <v>0</v>
      </c>
    </row>
    <row r="93" spans="3:24" ht="12.75">
      <c r="C93" s="2"/>
      <c r="E93" s="89" t="s">
        <v>19</v>
      </c>
      <c r="F93" s="17"/>
      <c r="G93" s="15"/>
      <c r="H93" s="90">
        <f t="shared" si="6"/>
        <v>0</v>
      </c>
      <c r="I93" s="15"/>
      <c r="J93" s="64" t="s">
        <v>304</v>
      </c>
      <c r="K93" s="63" t="s">
        <v>333</v>
      </c>
      <c r="L93" s="46"/>
      <c r="M93" s="46" t="s">
        <v>337</v>
      </c>
      <c r="N93" s="51">
        <v>51200</v>
      </c>
      <c r="O93" s="48">
        <f>N93</f>
        <v>51200</v>
      </c>
      <c r="P93" s="48"/>
      <c r="Q93" s="48"/>
      <c r="R93" s="48"/>
      <c r="S93" s="48"/>
      <c r="T93" s="48"/>
      <c r="U93" s="48"/>
      <c r="V93" s="48"/>
      <c r="W93" s="2"/>
      <c r="X93" s="49">
        <f t="shared" si="7"/>
        <v>0</v>
      </c>
    </row>
    <row r="94" spans="3:24" ht="12.75">
      <c r="C94" s="2"/>
      <c r="E94" s="89" t="s">
        <v>19</v>
      </c>
      <c r="F94" s="17"/>
      <c r="G94" s="15"/>
      <c r="H94" s="90">
        <f t="shared" si="6"/>
        <v>0</v>
      </c>
      <c r="I94" s="15"/>
      <c r="J94" s="64" t="s">
        <v>304</v>
      </c>
      <c r="K94" s="63" t="s">
        <v>336</v>
      </c>
      <c r="L94" s="46"/>
      <c r="M94" s="46" t="s">
        <v>337</v>
      </c>
      <c r="N94" s="51">
        <v>584000</v>
      </c>
      <c r="O94" s="48">
        <f>N94</f>
        <v>584000</v>
      </c>
      <c r="P94" s="48"/>
      <c r="Q94" s="48"/>
      <c r="R94" s="48"/>
      <c r="S94" s="48"/>
      <c r="T94" s="48"/>
      <c r="U94" s="48"/>
      <c r="V94" s="48"/>
      <c r="W94" s="2"/>
      <c r="X94" s="49">
        <f t="shared" si="7"/>
        <v>0</v>
      </c>
    </row>
    <row r="95" spans="3:24" ht="12.75">
      <c r="C95" s="2"/>
      <c r="E95" s="89" t="s">
        <v>19</v>
      </c>
      <c r="F95" s="17"/>
      <c r="G95" s="15"/>
      <c r="H95" s="90">
        <f t="shared" si="6"/>
        <v>0</v>
      </c>
      <c r="I95" s="15"/>
      <c r="J95" s="64" t="s">
        <v>304</v>
      </c>
      <c r="K95" s="63" t="s">
        <v>336</v>
      </c>
      <c r="L95" s="46"/>
      <c r="M95" s="92" t="s">
        <v>338</v>
      </c>
      <c r="N95" s="93">
        <v>3898658.13</v>
      </c>
      <c r="O95" s="48"/>
      <c r="P95" s="48"/>
      <c r="Q95" s="48"/>
      <c r="R95" s="48"/>
      <c r="S95" s="48"/>
      <c r="T95" s="48"/>
      <c r="U95" s="48"/>
      <c r="V95" s="48"/>
      <c r="W95" s="2"/>
      <c r="X95" s="49">
        <f t="shared" si="7"/>
        <v>3898658.13</v>
      </c>
    </row>
    <row r="96" spans="3:24" ht="12.75">
      <c r="C96" s="2"/>
      <c r="E96" s="89" t="s">
        <v>19</v>
      </c>
      <c r="F96" s="17"/>
      <c r="G96" s="15"/>
      <c r="H96" s="90">
        <f t="shared" si="6"/>
        <v>0</v>
      </c>
      <c r="I96" s="15"/>
      <c r="J96" s="64" t="s">
        <v>304</v>
      </c>
      <c r="K96" s="63" t="s">
        <v>333</v>
      </c>
      <c r="L96" s="46"/>
      <c r="M96" s="46" t="s">
        <v>339</v>
      </c>
      <c r="N96" s="51">
        <v>887680</v>
      </c>
      <c r="O96" s="48">
        <f>N96</f>
        <v>887680</v>
      </c>
      <c r="P96" s="48"/>
      <c r="Q96" s="48"/>
      <c r="R96" s="48"/>
      <c r="S96" s="48"/>
      <c r="T96" s="48"/>
      <c r="U96" s="48"/>
      <c r="V96" s="48"/>
      <c r="W96" s="2"/>
      <c r="X96" s="49">
        <f t="shared" si="7"/>
        <v>0</v>
      </c>
    </row>
    <row r="97" spans="3:24" ht="12.75">
      <c r="C97" s="2"/>
      <c r="E97" s="94"/>
      <c r="F97" s="95"/>
      <c r="G97" s="96"/>
      <c r="H97" s="97"/>
      <c r="I97" s="96"/>
      <c r="J97" s="98"/>
      <c r="K97" s="63"/>
      <c r="L97" s="99"/>
      <c r="M97" s="99"/>
      <c r="N97" s="88">
        <f>SUM(N69:N96)</f>
        <v>93736501.89039996</v>
      </c>
      <c r="O97" s="100">
        <f>SUM(O69:O96)</f>
        <v>25990805.807199996</v>
      </c>
      <c r="P97" s="100">
        <f aca="true" t="shared" si="8" ref="P97:X97">SUM(P69:P96)</f>
        <v>24266020.4396</v>
      </c>
      <c r="Q97" s="100">
        <f t="shared" si="8"/>
        <v>35587550.151</v>
      </c>
      <c r="R97" s="100">
        <f t="shared" si="8"/>
        <v>1773902.0608</v>
      </c>
      <c r="S97" s="100">
        <f t="shared" si="8"/>
        <v>1595930.2821999998</v>
      </c>
      <c r="T97" s="100">
        <f t="shared" si="8"/>
        <v>0</v>
      </c>
      <c r="U97" s="100">
        <f t="shared" si="8"/>
        <v>0</v>
      </c>
      <c r="V97" s="100">
        <f t="shared" si="8"/>
        <v>624553.0196</v>
      </c>
      <c r="W97" s="101">
        <f t="shared" si="8"/>
        <v>0</v>
      </c>
      <c r="X97" s="101">
        <f t="shared" si="8"/>
        <v>3897740.13</v>
      </c>
    </row>
    <row r="98" spans="3:23" ht="22.5">
      <c r="C98" s="2"/>
      <c r="E98" s="89" t="s">
        <v>19</v>
      </c>
      <c r="F98" s="17" t="s">
        <v>359</v>
      </c>
      <c r="G98" s="32">
        <f>155673-131715</f>
        <v>23958</v>
      </c>
      <c r="H98" s="102">
        <f>Q98</f>
        <v>1219194</v>
      </c>
      <c r="I98" s="15"/>
      <c r="J98" s="64" t="s">
        <v>385</v>
      </c>
      <c r="K98" s="83" t="s">
        <v>37</v>
      </c>
      <c r="L98" s="46" t="s">
        <v>386</v>
      </c>
      <c r="M98" s="46"/>
      <c r="N98" s="51">
        <f>SUM(O98:V98)</f>
        <v>1219194</v>
      </c>
      <c r="O98" s="48"/>
      <c r="P98" s="48"/>
      <c r="Q98" s="48">
        <f>7866651.6-Q91</f>
        <v>1219194</v>
      </c>
      <c r="R98" s="48"/>
      <c r="S98" s="48"/>
      <c r="T98" s="48"/>
      <c r="U98" s="48"/>
      <c r="V98" s="48"/>
      <c r="W98" s="2"/>
    </row>
    <row r="99" spans="3:23" ht="22.5">
      <c r="C99" s="2"/>
      <c r="E99" s="89" t="s">
        <v>19</v>
      </c>
      <c r="F99" s="17"/>
      <c r="G99" s="32"/>
      <c r="H99" s="102">
        <f aca="true" t="shared" si="9" ref="H99:H116">Q99</f>
        <v>0</v>
      </c>
      <c r="I99" s="15"/>
      <c r="J99" s="64" t="s">
        <v>387</v>
      </c>
      <c r="K99" s="63" t="s">
        <v>39</v>
      </c>
      <c r="L99" s="46" t="s">
        <v>388</v>
      </c>
      <c r="M99" s="46"/>
      <c r="N99" s="51">
        <f aca="true" t="shared" si="10" ref="N99:N116">SUM(O99:V99)</f>
        <v>982092.3899999997</v>
      </c>
      <c r="O99" s="48"/>
      <c r="P99" s="48">
        <v>982092.3899999997</v>
      </c>
      <c r="Q99" s="48"/>
      <c r="R99" s="48"/>
      <c r="S99" s="48"/>
      <c r="T99" s="48"/>
      <c r="U99" s="48"/>
      <c r="V99" s="48"/>
      <c r="W99" s="2"/>
    </row>
    <row r="100" spans="3:23" ht="56.25">
      <c r="C100" s="2"/>
      <c r="E100" s="89" t="s">
        <v>24</v>
      </c>
      <c r="F100" s="17"/>
      <c r="G100" s="32" t="s">
        <v>221</v>
      </c>
      <c r="H100" s="102">
        <f t="shared" si="9"/>
        <v>780000</v>
      </c>
      <c r="I100" s="15"/>
      <c r="J100" s="64" t="s">
        <v>387</v>
      </c>
      <c r="K100" s="63" t="s">
        <v>389</v>
      </c>
      <c r="L100" s="46" t="s">
        <v>390</v>
      </c>
      <c r="M100" s="46" t="s">
        <v>391</v>
      </c>
      <c r="N100" s="51">
        <f t="shared" si="10"/>
        <v>780000</v>
      </c>
      <c r="O100" s="48"/>
      <c r="P100" s="48"/>
      <c r="Q100" s="48">
        <v>780000</v>
      </c>
      <c r="R100" s="48"/>
      <c r="S100" s="48"/>
      <c r="T100" s="48"/>
      <c r="U100" s="48"/>
      <c r="V100" s="48"/>
      <c r="W100" s="2"/>
    </row>
    <row r="101" spans="3:23" ht="22.5">
      <c r="C101" s="2"/>
      <c r="E101" s="89" t="s">
        <v>24</v>
      </c>
      <c r="F101" s="17"/>
      <c r="G101" s="32" t="s">
        <v>214</v>
      </c>
      <c r="H101" s="102">
        <f t="shared" si="9"/>
        <v>3801000</v>
      </c>
      <c r="I101" s="15"/>
      <c r="J101" s="64" t="s">
        <v>387</v>
      </c>
      <c r="K101" s="63" t="s">
        <v>114</v>
      </c>
      <c r="L101" s="46" t="s">
        <v>392</v>
      </c>
      <c r="M101" s="46" t="s">
        <v>393</v>
      </c>
      <c r="N101" s="51">
        <f t="shared" si="10"/>
        <v>3801000</v>
      </c>
      <c r="O101" s="48"/>
      <c r="P101" s="48"/>
      <c r="Q101" s="48">
        <v>3801000</v>
      </c>
      <c r="R101" s="48"/>
      <c r="S101" s="48"/>
      <c r="T101" s="48"/>
      <c r="U101" s="48"/>
      <c r="V101" s="48"/>
      <c r="W101" s="2"/>
    </row>
    <row r="102" spans="3:23" ht="22.5">
      <c r="C102" s="2"/>
      <c r="E102" s="89" t="s">
        <v>24</v>
      </c>
      <c r="F102" s="17"/>
      <c r="G102" s="32" t="s">
        <v>221</v>
      </c>
      <c r="H102" s="102">
        <f t="shared" si="9"/>
        <v>0</v>
      </c>
      <c r="I102" s="15"/>
      <c r="J102" s="64" t="s">
        <v>387</v>
      </c>
      <c r="K102" s="63" t="s">
        <v>394</v>
      </c>
      <c r="L102" s="46" t="s">
        <v>395</v>
      </c>
      <c r="M102" s="46" t="s">
        <v>396</v>
      </c>
      <c r="N102" s="51">
        <f t="shared" si="10"/>
        <v>1801161</v>
      </c>
      <c r="O102" s="48">
        <v>1801161</v>
      </c>
      <c r="P102" s="48"/>
      <c r="Q102" s="48"/>
      <c r="R102" s="48"/>
      <c r="S102" s="48"/>
      <c r="T102" s="48"/>
      <c r="U102" s="48"/>
      <c r="V102" s="48"/>
      <c r="W102" s="2"/>
    </row>
    <row r="103" spans="3:23" ht="22.5">
      <c r="C103" s="2"/>
      <c r="E103" s="89" t="s">
        <v>24</v>
      </c>
      <c r="F103" s="17"/>
      <c r="G103" s="32" t="s">
        <v>221</v>
      </c>
      <c r="H103" s="102">
        <f t="shared" si="9"/>
        <v>0</v>
      </c>
      <c r="I103" s="15"/>
      <c r="J103" s="64" t="s">
        <v>387</v>
      </c>
      <c r="K103" s="63" t="s">
        <v>397</v>
      </c>
      <c r="L103" s="46" t="s">
        <v>398</v>
      </c>
      <c r="M103" s="46" t="s">
        <v>399</v>
      </c>
      <c r="N103" s="51">
        <f t="shared" si="10"/>
        <v>670122</v>
      </c>
      <c r="O103" s="48">
        <v>670122</v>
      </c>
      <c r="P103" s="48"/>
      <c r="Q103" s="48"/>
      <c r="R103" s="48"/>
      <c r="S103" s="48"/>
      <c r="T103" s="48"/>
      <c r="U103" s="48"/>
      <c r="V103" s="48"/>
      <c r="W103" s="2"/>
    </row>
    <row r="104" spans="3:23" ht="102">
      <c r="C104" s="2"/>
      <c r="E104" s="89" t="s">
        <v>22</v>
      </c>
      <c r="F104" s="17"/>
      <c r="G104" s="32"/>
      <c r="H104" s="102">
        <f t="shared" si="9"/>
        <v>0</v>
      </c>
      <c r="I104" s="15"/>
      <c r="J104" s="64" t="s">
        <v>385</v>
      </c>
      <c r="K104" s="63" t="s">
        <v>297</v>
      </c>
      <c r="L104" s="46" t="s">
        <v>400</v>
      </c>
      <c r="M104" s="46" t="s">
        <v>401</v>
      </c>
      <c r="N104" s="51">
        <f t="shared" si="10"/>
        <v>1888900.34</v>
      </c>
      <c r="O104" s="48">
        <v>1888900.34</v>
      </c>
      <c r="P104" s="48"/>
      <c r="Q104" s="48"/>
      <c r="R104" s="48"/>
      <c r="S104" s="48"/>
      <c r="T104" s="48"/>
      <c r="U104" s="48"/>
      <c r="V104" s="48"/>
      <c r="W104" s="2"/>
    </row>
    <row r="105" spans="3:23" ht="22.5">
      <c r="C105" s="2"/>
      <c r="E105" s="89" t="s">
        <v>33</v>
      </c>
      <c r="F105" s="17"/>
      <c r="G105" s="32">
        <v>690</v>
      </c>
      <c r="H105" s="102">
        <f t="shared" si="9"/>
        <v>6636495.7299999995</v>
      </c>
      <c r="I105" s="15"/>
      <c r="J105" s="64" t="s">
        <v>385</v>
      </c>
      <c r="K105" s="63" t="s">
        <v>402</v>
      </c>
      <c r="L105" s="46" t="s">
        <v>403</v>
      </c>
      <c r="M105" s="46" t="s">
        <v>404</v>
      </c>
      <c r="N105" s="51">
        <f t="shared" si="10"/>
        <v>11179991.29</v>
      </c>
      <c r="O105" s="48">
        <v>1869442.25</v>
      </c>
      <c r="P105" s="48">
        <v>2674053.31</v>
      </c>
      <c r="Q105" s="48">
        <v>6636495.7299999995</v>
      </c>
      <c r="R105" s="48"/>
      <c r="S105" s="48"/>
      <c r="T105" s="48"/>
      <c r="U105" s="48"/>
      <c r="V105" s="48"/>
      <c r="W105" s="2"/>
    </row>
    <row r="106" spans="3:23" ht="102">
      <c r="C106" s="2"/>
      <c r="E106" s="89" t="s">
        <v>22</v>
      </c>
      <c r="F106" s="17"/>
      <c r="G106" s="32"/>
      <c r="H106" s="102">
        <f t="shared" si="9"/>
        <v>0</v>
      </c>
      <c r="I106" s="15"/>
      <c r="J106" s="64" t="s">
        <v>385</v>
      </c>
      <c r="K106" s="63" t="s">
        <v>76</v>
      </c>
      <c r="L106" s="46" t="s">
        <v>405</v>
      </c>
      <c r="M106" s="46" t="s">
        <v>406</v>
      </c>
      <c r="N106" s="51">
        <f t="shared" si="10"/>
        <v>2096099.98</v>
      </c>
      <c r="O106" s="48">
        <v>2096099.98</v>
      </c>
      <c r="P106" s="48"/>
      <c r="Q106" s="48"/>
      <c r="R106" s="48"/>
      <c r="S106" s="48"/>
      <c r="T106" s="48"/>
      <c r="U106" s="48"/>
      <c r="V106" s="48"/>
      <c r="W106" s="2"/>
    </row>
    <row r="107" spans="3:23" ht="12.75">
      <c r="C107" s="2"/>
      <c r="E107" s="89" t="s">
        <v>35</v>
      </c>
      <c r="F107" s="17"/>
      <c r="G107" s="32" t="s">
        <v>196</v>
      </c>
      <c r="H107" s="102">
        <f t="shared" si="9"/>
        <v>4500000</v>
      </c>
      <c r="I107" s="15"/>
      <c r="J107" s="64" t="s">
        <v>385</v>
      </c>
      <c r="K107" s="63" t="s">
        <v>407</v>
      </c>
      <c r="L107" s="46" t="s">
        <v>408</v>
      </c>
      <c r="M107" s="46" t="s">
        <v>409</v>
      </c>
      <c r="N107" s="51">
        <f t="shared" si="10"/>
        <v>4500000</v>
      </c>
      <c r="O107" s="48"/>
      <c r="P107" s="48"/>
      <c r="Q107" s="48">
        <v>4500000</v>
      </c>
      <c r="R107" s="48"/>
      <c r="S107" s="48"/>
      <c r="T107" s="48"/>
      <c r="U107" s="48"/>
      <c r="V107" s="48"/>
      <c r="W107" s="2"/>
    </row>
    <row r="108" spans="3:23" ht="33.75">
      <c r="C108" s="2"/>
      <c r="E108" s="89" t="s">
        <v>24</v>
      </c>
      <c r="F108" s="17"/>
      <c r="G108" s="32"/>
      <c r="H108" s="102">
        <f t="shared" si="9"/>
        <v>0</v>
      </c>
      <c r="I108" s="15"/>
      <c r="J108" s="64" t="s">
        <v>385</v>
      </c>
      <c r="K108" s="63" t="s">
        <v>410</v>
      </c>
      <c r="L108" s="46" t="s">
        <v>411</v>
      </c>
      <c r="M108" s="46" t="s">
        <v>412</v>
      </c>
      <c r="N108" s="51">
        <f t="shared" si="10"/>
        <v>2684500</v>
      </c>
      <c r="O108" s="48">
        <v>2684500</v>
      </c>
      <c r="P108" s="48"/>
      <c r="Q108" s="48"/>
      <c r="R108" s="48"/>
      <c r="S108" s="48"/>
      <c r="T108" s="48"/>
      <c r="U108" s="48"/>
      <c r="V108" s="48"/>
      <c r="W108" s="2"/>
    </row>
    <row r="109" spans="3:23" ht="22.5">
      <c r="C109" s="2"/>
      <c r="E109" s="89" t="s">
        <v>35</v>
      </c>
      <c r="F109" s="17"/>
      <c r="G109" s="32"/>
      <c r="H109" s="102">
        <f t="shared" si="9"/>
        <v>0</v>
      </c>
      <c r="I109" s="15"/>
      <c r="J109" s="64" t="s">
        <v>413</v>
      </c>
      <c r="K109" s="63" t="s">
        <v>414</v>
      </c>
      <c r="L109" s="46" t="s">
        <v>415</v>
      </c>
      <c r="M109" s="46" t="s">
        <v>416</v>
      </c>
      <c r="N109" s="51">
        <f t="shared" si="10"/>
        <v>815000</v>
      </c>
      <c r="O109" s="48">
        <v>815000</v>
      </c>
      <c r="P109" s="48"/>
      <c r="Q109" s="48"/>
      <c r="R109" s="48"/>
      <c r="S109" s="48"/>
      <c r="T109" s="48"/>
      <c r="U109" s="48"/>
      <c r="V109" s="48"/>
      <c r="W109" s="2"/>
    </row>
    <row r="110" spans="3:22" ht="22.5">
      <c r="C110" s="2"/>
      <c r="E110" s="89" t="s">
        <v>19</v>
      </c>
      <c r="F110" s="17"/>
      <c r="G110" s="32"/>
      <c r="H110" s="102">
        <f t="shared" si="9"/>
        <v>0</v>
      </c>
      <c r="I110" s="15"/>
      <c r="J110" s="64" t="s">
        <v>413</v>
      </c>
      <c r="K110" s="63" t="s">
        <v>37</v>
      </c>
      <c r="L110" s="46" t="s">
        <v>417</v>
      </c>
      <c r="M110" s="46" t="s">
        <v>418</v>
      </c>
      <c r="N110" s="51">
        <f t="shared" si="10"/>
        <v>1639302.3032</v>
      </c>
      <c r="O110" s="48">
        <v>0</v>
      </c>
      <c r="P110" s="48">
        <v>1639302.3032</v>
      </c>
      <c r="Q110" s="48">
        <v>0</v>
      </c>
      <c r="R110" s="48"/>
      <c r="S110" s="48"/>
      <c r="T110" s="48"/>
      <c r="U110" s="48"/>
      <c r="V110" s="48"/>
    </row>
    <row r="111" spans="3:22" ht="22.5">
      <c r="C111" s="2"/>
      <c r="E111" s="89" t="s">
        <v>19</v>
      </c>
      <c r="F111" s="17"/>
      <c r="G111" s="32"/>
      <c r="H111" s="102">
        <f t="shared" si="9"/>
        <v>0</v>
      </c>
      <c r="I111" s="15"/>
      <c r="J111" s="64" t="s">
        <v>413</v>
      </c>
      <c r="K111" s="63" t="s">
        <v>37</v>
      </c>
      <c r="L111" s="46" t="s">
        <v>419</v>
      </c>
      <c r="M111" s="46" t="s">
        <v>420</v>
      </c>
      <c r="N111" s="51">
        <f t="shared" si="10"/>
        <v>3886300</v>
      </c>
      <c r="O111" s="48">
        <v>0</v>
      </c>
      <c r="P111" s="48">
        <v>3886300</v>
      </c>
      <c r="Q111" s="48">
        <v>0</v>
      </c>
      <c r="R111" s="48"/>
      <c r="S111" s="48"/>
      <c r="T111" s="48"/>
      <c r="U111" s="48"/>
      <c r="V111" s="48"/>
    </row>
    <row r="112" spans="3:22" ht="22.5">
      <c r="C112" s="2"/>
      <c r="E112" s="89" t="s">
        <v>19</v>
      </c>
      <c r="F112" s="17" t="s">
        <v>359</v>
      </c>
      <c r="G112" s="32">
        <v>191725</v>
      </c>
      <c r="H112" s="102">
        <f t="shared" si="9"/>
        <v>9989221.5</v>
      </c>
      <c r="I112" s="15"/>
      <c r="J112" s="64" t="s">
        <v>413</v>
      </c>
      <c r="K112" s="63" t="s">
        <v>37</v>
      </c>
      <c r="L112" s="46" t="s">
        <v>421</v>
      </c>
      <c r="M112" s="46" t="s">
        <v>422</v>
      </c>
      <c r="N112" s="51">
        <f t="shared" si="10"/>
        <v>9989221.5</v>
      </c>
      <c r="O112" s="48">
        <v>0</v>
      </c>
      <c r="P112" s="48">
        <v>0</v>
      </c>
      <c r="Q112" s="48">
        <v>9989221.5</v>
      </c>
      <c r="R112" s="48"/>
      <c r="S112" s="48"/>
      <c r="T112" s="48"/>
      <c r="U112" s="48"/>
      <c r="V112" s="48"/>
    </row>
    <row r="113" spans="3:22" ht="22.5">
      <c r="C113" s="2"/>
      <c r="E113" s="89" t="s">
        <v>19</v>
      </c>
      <c r="F113" s="17"/>
      <c r="G113" s="32"/>
      <c r="H113" s="102">
        <f t="shared" si="9"/>
        <v>0</v>
      </c>
      <c r="I113" s="15"/>
      <c r="J113" s="64" t="s">
        <v>413</v>
      </c>
      <c r="K113" s="63" t="s">
        <v>37</v>
      </c>
      <c r="L113" s="46" t="s">
        <v>423</v>
      </c>
      <c r="M113" s="46" t="s">
        <v>424</v>
      </c>
      <c r="N113" s="51">
        <f t="shared" si="10"/>
        <v>105600</v>
      </c>
      <c r="O113" s="48">
        <v>105600</v>
      </c>
      <c r="P113" s="48">
        <v>0</v>
      </c>
      <c r="Q113" s="48">
        <v>0</v>
      </c>
      <c r="R113" s="48"/>
      <c r="S113" s="48"/>
      <c r="T113" s="48"/>
      <c r="U113" s="48"/>
      <c r="V113" s="48"/>
    </row>
    <row r="114" spans="3:22" ht="22.5">
      <c r="C114" s="2"/>
      <c r="E114" s="89" t="s">
        <v>19</v>
      </c>
      <c r="F114" s="17"/>
      <c r="G114" s="32"/>
      <c r="H114" s="102">
        <f t="shared" si="9"/>
        <v>0</v>
      </c>
      <c r="I114" s="15"/>
      <c r="J114" s="64" t="s">
        <v>413</v>
      </c>
      <c r="K114" s="63" t="s">
        <v>39</v>
      </c>
      <c r="L114" s="46" t="s">
        <v>425</v>
      </c>
      <c r="M114" s="46" t="s">
        <v>424</v>
      </c>
      <c r="N114" s="51">
        <f t="shared" si="10"/>
        <v>431600</v>
      </c>
      <c r="O114" s="48">
        <v>431600</v>
      </c>
      <c r="P114" s="48">
        <v>0</v>
      </c>
      <c r="Q114" s="48">
        <v>0</v>
      </c>
      <c r="R114" s="48"/>
      <c r="S114" s="48"/>
      <c r="T114" s="48"/>
      <c r="U114" s="48"/>
      <c r="V114" s="48"/>
    </row>
    <row r="115" spans="3:22" ht="22.5">
      <c r="C115" s="2"/>
      <c r="E115" s="89" t="s">
        <v>19</v>
      </c>
      <c r="F115" s="17" t="s">
        <v>359</v>
      </c>
      <c r="G115" s="32">
        <v>69437</v>
      </c>
      <c r="H115" s="102">
        <f t="shared" si="9"/>
        <v>3498478</v>
      </c>
      <c r="I115" s="15"/>
      <c r="J115" s="64" t="s">
        <v>413</v>
      </c>
      <c r="K115" s="63" t="s">
        <v>39</v>
      </c>
      <c r="L115" s="46" t="s">
        <v>426</v>
      </c>
      <c r="M115" s="46" t="s">
        <v>422</v>
      </c>
      <c r="N115" s="51">
        <f t="shared" si="10"/>
        <v>3498478</v>
      </c>
      <c r="O115" s="48">
        <v>0</v>
      </c>
      <c r="P115" s="48">
        <v>0</v>
      </c>
      <c r="Q115" s="48">
        <v>3498478</v>
      </c>
      <c r="R115" s="48"/>
      <c r="S115" s="48"/>
      <c r="T115" s="48"/>
      <c r="U115" s="48"/>
      <c r="V115" s="48"/>
    </row>
    <row r="116" spans="3:22" ht="22.5">
      <c r="C116" s="2"/>
      <c r="E116" s="89" t="s">
        <v>19</v>
      </c>
      <c r="F116" s="17" t="s">
        <v>429</v>
      </c>
      <c r="G116" s="32">
        <v>1.35</v>
      </c>
      <c r="H116" s="102">
        <f t="shared" si="9"/>
        <v>92924.5162</v>
      </c>
      <c r="I116" s="15"/>
      <c r="J116" s="64" t="s">
        <v>413</v>
      </c>
      <c r="K116" s="63" t="s">
        <v>39</v>
      </c>
      <c r="L116" s="46" t="s">
        <v>427</v>
      </c>
      <c r="M116" s="46" t="s">
        <v>428</v>
      </c>
      <c r="N116" s="51">
        <f t="shared" si="10"/>
        <v>3157919.4809999997</v>
      </c>
      <c r="O116" s="48">
        <v>3064994.9647999997</v>
      </c>
      <c r="P116" s="48">
        <v>0</v>
      </c>
      <c r="Q116" s="48">
        <v>92924.5162</v>
      </c>
      <c r="R116" s="48"/>
      <c r="S116" s="48"/>
      <c r="T116" s="48"/>
      <c r="U116" s="48"/>
      <c r="V116" s="48"/>
    </row>
    <row r="117" spans="3:23" ht="12.75">
      <c r="C117" s="2"/>
      <c r="F117" s="31"/>
      <c r="H117" s="49">
        <f>SUBTOTAL(9,H69:H97)</f>
        <v>35587550.151</v>
      </c>
      <c r="M117" s="114"/>
      <c r="N117" s="115">
        <f>SUM(N98:N116)</f>
        <v>55126482.2842</v>
      </c>
      <c r="O117" s="115">
        <f>SUM(O98:O116)</f>
        <v>15427420.5348</v>
      </c>
      <c r="P117" s="115">
        <f aca="true" t="shared" si="11" ref="P117:V117">SUM(P98:P116)</f>
        <v>9181748.0032</v>
      </c>
      <c r="Q117" s="115">
        <f t="shared" si="11"/>
        <v>30517313.7462</v>
      </c>
      <c r="R117" s="115">
        <f t="shared" si="11"/>
        <v>0</v>
      </c>
      <c r="S117" s="115">
        <f t="shared" si="11"/>
        <v>0</v>
      </c>
      <c r="T117" s="115">
        <f t="shared" si="11"/>
        <v>0</v>
      </c>
      <c r="U117" s="115">
        <f t="shared" si="11"/>
        <v>0</v>
      </c>
      <c r="V117" s="115">
        <f t="shared" si="11"/>
        <v>0</v>
      </c>
      <c r="W117" s="2"/>
    </row>
    <row r="118" spans="3:23" ht="12.75">
      <c r="C118" s="2"/>
      <c r="F118" s="31"/>
      <c r="H118" s="49">
        <f>H117-'[2]июнь'!G20</f>
        <v>35587550.151</v>
      </c>
      <c r="M118" s="114"/>
      <c r="W118" s="2"/>
    </row>
    <row r="119" spans="3:8" ht="12.75">
      <c r="C119" s="2"/>
      <c r="F119" s="31"/>
      <c r="H119" s="5"/>
    </row>
    <row r="120" spans="3:8" ht="12.75">
      <c r="C120" s="2"/>
      <c r="F120" s="31"/>
      <c r="H120" s="5"/>
    </row>
    <row r="121" spans="3:8" ht="12.75">
      <c r="C121" s="2"/>
      <c r="F121" s="31"/>
      <c r="H121" s="5"/>
    </row>
    <row r="122" spans="3:8" ht="12.75">
      <c r="C122" s="2"/>
      <c r="F122" s="31"/>
      <c r="H122" s="5"/>
    </row>
  </sheetData>
  <sheetProtection/>
  <autoFilter ref="A10:J118"/>
  <mergeCells count="9">
    <mergeCell ref="M23:M24"/>
    <mergeCell ref="N23:N24"/>
    <mergeCell ref="A6:I6"/>
    <mergeCell ref="A7:I7"/>
    <mergeCell ref="A8:I8"/>
    <mergeCell ref="K12:K13"/>
    <mergeCell ref="L12:L13"/>
    <mergeCell ref="K23:K24"/>
    <mergeCell ref="L23:L24"/>
  </mergeCells>
  <printOptions/>
  <pageMargins left="0.7874015748031497" right="0.31496062992125984" top="0.5905511811023623" bottom="0.3937007874015748" header="0.1968503937007874" footer="0.1968503937007874"/>
  <pageSetup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2.xml><?xml version="1.0" encoding="utf-8"?>
<worksheet xmlns="http://schemas.openxmlformats.org/spreadsheetml/2006/main" xmlns:r="http://schemas.openxmlformats.org/officeDocument/2006/relationships">
  <dimension ref="A1:L20"/>
  <sheetViews>
    <sheetView view="pageBreakPreview" zoomScale="60" zoomScaleNormal="90" zoomScalePageLayoutView="0" workbookViewId="0" topLeftCell="A11">
      <selection activeCell="J23" sqref="J23"/>
    </sheetView>
  </sheetViews>
  <sheetFormatPr defaultColWidth="9.00390625" defaultRowHeight="12.75" outlineLevelCol="1"/>
  <cols>
    <col min="1" max="1" width="8.25390625" style="69" customWidth="1"/>
    <col min="2" max="2" width="80.25390625" style="69" customWidth="1"/>
    <col min="3" max="3" width="27.625" style="69" customWidth="1"/>
    <col min="4" max="4" width="29.25390625" style="69" customWidth="1"/>
    <col min="5" max="5" width="28.625" style="72" customWidth="1"/>
    <col min="6" max="7" width="20.125" style="69" customWidth="1"/>
    <col min="8" max="8" width="20.125" style="74" customWidth="1"/>
    <col min="9" max="9" width="15.75390625" style="68" hidden="1" customWidth="1" outlineLevel="1"/>
    <col min="10" max="10" width="16.25390625" style="68" hidden="1" customWidth="1" outlineLevel="1"/>
    <col min="11" max="12" width="9.125" style="69" hidden="1" customWidth="1" outlineLevel="1"/>
    <col min="13" max="13" width="9.125" style="69" customWidth="1" collapsed="1"/>
    <col min="14" max="16384" width="9.125" style="69" customWidth="1"/>
  </cols>
  <sheetData>
    <row r="1" spans="1:8" ht="12.75">
      <c r="A1" s="4"/>
      <c r="B1" s="5"/>
      <c r="C1" s="5"/>
      <c r="D1" s="5"/>
      <c r="E1" s="31"/>
      <c r="F1" s="4"/>
      <c r="G1" s="6"/>
      <c r="H1" s="20" t="s">
        <v>3</v>
      </c>
    </row>
    <row r="2" spans="1:8" ht="12.75">
      <c r="A2" s="4"/>
      <c r="B2" s="5"/>
      <c r="C2" s="5"/>
      <c r="D2" s="5"/>
      <c r="E2" s="31"/>
      <c r="F2" s="4"/>
      <c r="G2" s="6"/>
      <c r="H2" s="20" t="s">
        <v>1</v>
      </c>
    </row>
    <row r="3" spans="1:8" ht="12.75">
      <c r="A3" s="4"/>
      <c r="B3" s="5"/>
      <c r="C3" s="5"/>
      <c r="D3" s="5"/>
      <c r="E3" s="31"/>
      <c r="F3" s="4"/>
      <c r="G3" s="6"/>
      <c r="H3" s="20" t="s">
        <v>2</v>
      </c>
    </row>
    <row r="4" spans="1:8" ht="12.75">
      <c r="A4" s="4"/>
      <c r="B4" s="5"/>
      <c r="C4" s="5"/>
      <c r="D4" s="5"/>
      <c r="E4" s="31"/>
      <c r="F4" s="4"/>
      <c r="G4" s="6"/>
      <c r="H4" s="2"/>
    </row>
    <row r="5" spans="1:8" ht="12.75">
      <c r="A5" s="4"/>
      <c r="B5" s="5"/>
      <c r="C5" s="5"/>
      <c r="D5" s="5"/>
      <c r="E5" s="31"/>
      <c r="F5" s="4"/>
      <c r="G5" s="6"/>
      <c r="H5" s="2"/>
    </row>
    <row r="6" spans="1:8" ht="15.75">
      <c r="A6" s="119" t="s">
        <v>4</v>
      </c>
      <c r="B6" s="119"/>
      <c r="C6" s="119"/>
      <c r="D6" s="119"/>
      <c r="E6" s="119"/>
      <c r="F6" s="119"/>
      <c r="G6" s="119"/>
      <c r="H6" s="119"/>
    </row>
    <row r="7" spans="1:8" ht="15.75">
      <c r="A7" s="119" t="s">
        <v>189</v>
      </c>
      <c r="B7" s="119"/>
      <c r="C7" s="119"/>
      <c r="D7" s="119"/>
      <c r="E7" s="119"/>
      <c r="F7" s="119"/>
      <c r="G7" s="119"/>
      <c r="H7" s="119"/>
    </row>
    <row r="8" spans="1:8" ht="15.75">
      <c r="A8" s="119"/>
      <c r="B8" s="119"/>
      <c r="C8" s="119"/>
      <c r="D8" s="119"/>
      <c r="E8" s="119"/>
      <c r="F8" s="119"/>
      <c r="G8" s="119"/>
      <c r="H8" s="119"/>
    </row>
    <row r="9" spans="1:8" ht="12.75">
      <c r="A9" s="4"/>
      <c r="B9" s="5"/>
      <c r="C9" s="5"/>
      <c r="D9" s="5"/>
      <c r="E9" s="31"/>
      <c r="F9" s="4"/>
      <c r="G9" s="6"/>
      <c r="H9" s="2"/>
    </row>
    <row r="10" spans="1:10" s="71" customFormat="1" ht="183.75" customHeight="1">
      <c r="A10" s="24" t="s">
        <v>0</v>
      </c>
      <c r="B10" s="24" t="s">
        <v>7</v>
      </c>
      <c r="C10" s="24" t="s">
        <v>25</v>
      </c>
      <c r="D10" s="24" t="s">
        <v>26</v>
      </c>
      <c r="E10" s="24" t="s">
        <v>14</v>
      </c>
      <c r="F10" s="24" t="s">
        <v>13</v>
      </c>
      <c r="G10" s="22" t="s">
        <v>27</v>
      </c>
      <c r="H10" s="24" t="s">
        <v>9</v>
      </c>
      <c r="I10" s="70" t="s">
        <v>229</v>
      </c>
      <c r="J10" s="70" t="s">
        <v>38</v>
      </c>
    </row>
    <row r="11" spans="1:10" ht="12.75">
      <c r="A11" s="11">
        <v>1</v>
      </c>
      <c r="B11" s="11">
        <v>2</v>
      </c>
      <c r="C11" s="11">
        <v>3</v>
      </c>
      <c r="D11" s="11">
        <v>4</v>
      </c>
      <c r="E11" s="8">
        <v>5</v>
      </c>
      <c r="F11" s="11">
        <v>6</v>
      </c>
      <c r="G11" s="11">
        <v>7</v>
      </c>
      <c r="H11" s="8">
        <v>8</v>
      </c>
      <c r="J11" s="69"/>
    </row>
    <row r="12" spans="1:12" ht="87" customHeight="1">
      <c r="A12" s="13" t="s">
        <v>12</v>
      </c>
      <c r="B12" s="120"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20"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20"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24" t="s">
        <v>21</v>
      </c>
      <c r="F12" s="21" t="s">
        <v>260</v>
      </c>
      <c r="G12" s="75">
        <f>SUM(I12:J12)</f>
        <v>1671311</v>
      </c>
      <c r="H12" s="30" t="s">
        <v>253</v>
      </c>
      <c r="J12" s="21">
        <v>1671311</v>
      </c>
      <c r="K12" s="30" t="s">
        <v>246</v>
      </c>
      <c r="L12" s="21" t="s">
        <v>245</v>
      </c>
    </row>
    <row r="13" spans="1:12" ht="87" customHeight="1">
      <c r="A13" s="13" t="s">
        <v>28</v>
      </c>
      <c r="B13" s="123"/>
      <c r="C13" s="123"/>
      <c r="D13" s="123"/>
      <c r="E13" s="24" t="s">
        <v>23</v>
      </c>
      <c r="F13" s="21">
        <v>0</v>
      </c>
      <c r="G13" s="75">
        <f aca="true" t="shared" si="0" ref="G13:G19">SUM(I13:J13)</f>
        <v>0</v>
      </c>
      <c r="H13" s="30">
        <v>0</v>
      </c>
      <c r="J13" s="77">
        <v>0</v>
      </c>
      <c r="K13" s="21">
        <v>0</v>
      </c>
      <c r="L13" s="77">
        <v>0</v>
      </c>
    </row>
    <row r="14" spans="1:12" ht="87" customHeight="1">
      <c r="A14" s="13" t="s">
        <v>29</v>
      </c>
      <c r="B14" s="123"/>
      <c r="C14" s="123"/>
      <c r="D14" s="123"/>
      <c r="E14" s="24" t="s">
        <v>24</v>
      </c>
      <c r="F14" s="21" t="s">
        <v>214</v>
      </c>
      <c r="G14" s="75">
        <f t="shared" si="0"/>
        <v>2360000</v>
      </c>
      <c r="H14" s="30" t="s">
        <v>254</v>
      </c>
      <c r="I14" s="68">
        <f>сводка!H32+сводка!H36</f>
        <v>2360000</v>
      </c>
      <c r="J14" s="21">
        <v>0</v>
      </c>
      <c r="K14" s="21">
        <v>0</v>
      </c>
      <c r="L14" s="21">
        <v>0</v>
      </c>
    </row>
    <row r="15" spans="1:12" ht="87" customHeight="1">
      <c r="A15" s="13" t="s">
        <v>30</v>
      </c>
      <c r="B15" s="123"/>
      <c r="C15" s="123"/>
      <c r="D15" s="123"/>
      <c r="E15" s="76" t="s">
        <v>22</v>
      </c>
      <c r="F15" s="30" t="s">
        <v>259</v>
      </c>
      <c r="G15" s="75">
        <f t="shared" si="0"/>
        <v>11746187.175999999</v>
      </c>
      <c r="H15" s="30" t="s">
        <v>255</v>
      </c>
      <c r="I15" s="68">
        <f>сводка!H37+сводка!H39</f>
        <v>10817335.175999999</v>
      </c>
      <c r="J15" s="21">
        <v>928852</v>
      </c>
      <c r="K15" s="78" t="s">
        <v>248</v>
      </c>
      <c r="L15" s="21" t="s">
        <v>247</v>
      </c>
    </row>
    <row r="16" spans="1:12" ht="87" customHeight="1">
      <c r="A16" s="13" t="s">
        <v>31</v>
      </c>
      <c r="B16" s="123"/>
      <c r="C16" s="123"/>
      <c r="D16" s="123"/>
      <c r="E16" s="76" t="s">
        <v>20</v>
      </c>
      <c r="F16" s="21" t="s">
        <v>256</v>
      </c>
      <c r="G16" s="75">
        <f t="shared" si="0"/>
        <v>31152</v>
      </c>
      <c r="H16" s="30" t="s">
        <v>253</v>
      </c>
      <c r="J16" s="21">
        <v>31152</v>
      </c>
      <c r="K16" s="78" t="s">
        <v>250</v>
      </c>
      <c r="L16" s="21" t="s">
        <v>249</v>
      </c>
    </row>
    <row r="17" spans="1:12" ht="87" customHeight="1">
      <c r="A17" s="13" t="s">
        <v>32</v>
      </c>
      <c r="B17" s="123"/>
      <c r="C17" s="123"/>
      <c r="D17" s="123"/>
      <c r="E17" s="76" t="s">
        <v>19</v>
      </c>
      <c r="F17" s="21">
        <v>0</v>
      </c>
      <c r="G17" s="75">
        <f t="shared" si="0"/>
        <v>0</v>
      </c>
      <c r="H17" s="30">
        <v>0</v>
      </c>
      <c r="J17" s="21">
        <v>0</v>
      </c>
      <c r="K17" s="30">
        <v>0</v>
      </c>
      <c r="L17" s="21">
        <v>0</v>
      </c>
    </row>
    <row r="18" spans="1:12" ht="87" customHeight="1">
      <c r="A18" s="13" t="s">
        <v>34</v>
      </c>
      <c r="B18" s="123"/>
      <c r="C18" s="123"/>
      <c r="D18" s="123"/>
      <c r="E18" s="24" t="s">
        <v>33</v>
      </c>
      <c r="F18" s="75" t="s">
        <v>258</v>
      </c>
      <c r="G18" s="75">
        <f t="shared" si="0"/>
        <v>697675</v>
      </c>
      <c r="H18" s="30" t="s">
        <v>257</v>
      </c>
      <c r="I18" s="68">
        <f>сводка!H38</f>
        <v>318750</v>
      </c>
      <c r="J18" s="21">
        <v>378925</v>
      </c>
      <c r="K18" s="78" t="s">
        <v>252</v>
      </c>
      <c r="L18" s="21" t="s">
        <v>251</v>
      </c>
    </row>
    <row r="19" spans="1:12" ht="124.5" customHeight="1">
      <c r="A19" s="13" t="s">
        <v>36</v>
      </c>
      <c r="B19" s="124"/>
      <c r="C19" s="124"/>
      <c r="D19" s="124"/>
      <c r="E19" s="76" t="s">
        <v>35</v>
      </c>
      <c r="F19" s="21" t="s">
        <v>232</v>
      </c>
      <c r="G19" s="75">
        <f t="shared" si="0"/>
        <v>12491900</v>
      </c>
      <c r="H19" s="30" t="s">
        <v>11</v>
      </c>
      <c r="I19" s="68">
        <f>сводка!H33+сводка!H34</f>
        <v>12491900</v>
      </c>
      <c r="J19" s="21"/>
      <c r="K19" s="21"/>
      <c r="L19" s="21"/>
    </row>
    <row r="20" spans="1:10" ht="12.75">
      <c r="A20" s="4"/>
      <c r="B20" s="5"/>
      <c r="C20" s="5"/>
      <c r="D20" s="5"/>
      <c r="E20" s="31"/>
      <c r="F20" s="4"/>
      <c r="G20" s="81">
        <f>SUM(G12:G19)</f>
        <v>28998225.176</v>
      </c>
      <c r="H20" s="2"/>
      <c r="I20" s="68">
        <f>SUM(I12:I19)</f>
        <v>25987985.176</v>
      </c>
      <c r="J20" s="68">
        <f>SUM(J12:J19)</f>
        <v>3010240</v>
      </c>
    </row>
  </sheetData>
  <sheetProtection/>
  <mergeCells count="6">
    <mergeCell ref="A6:H6"/>
    <mergeCell ref="A7:H7"/>
    <mergeCell ref="A8:H8"/>
    <mergeCell ref="B12:B19"/>
    <mergeCell ref="C12:C19"/>
    <mergeCell ref="D12:D19"/>
  </mergeCells>
  <printOptions/>
  <pageMargins left="0.2362204724409449" right="0.2362204724409449" top="0.7480314960629921" bottom="0.7480314960629921" header="0.31496062992125984" footer="0.31496062992125984"/>
  <pageSetup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A1:L26"/>
  <sheetViews>
    <sheetView view="pageBreakPreview" zoomScale="60" zoomScaleNormal="90" zoomScalePageLayoutView="0" workbookViewId="0" topLeftCell="A1">
      <selection activeCell="I14" sqref="I14"/>
    </sheetView>
  </sheetViews>
  <sheetFormatPr defaultColWidth="9.00390625" defaultRowHeight="12.75" outlineLevelCol="1"/>
  <cols>
    <col min="1" max="1" width="8.25390625" style="69" customWidth="1"/>
    <col min="2" max="2" width="79.25390625" style="69" customWidth="1"/>
    <col min="3" max="4" width="33.00390625" style="69" customWidth="1"/>
    <col min="5" max="5" width="25.75390625" style="72" customWidth="1"/>
    <col min="6" max="7" width="18.25390625" style="69" customWidth="1"/>
    <col min="8" max="8" width="18.25390625" style="74" customWidth="1"/>
    <col min="9" max="9" width="18.625" style="68" hidden="1" customWidth="1" outlineLevel="1"/>
    <col min="10" max="10" width="15.875" style="68" hidden="1" customWidth="1" outlineLevel="1"/>
    <col min="11" max="11" width="16.75390625" style="69" hidden="1" customWidth="1" outlineLevel="1"/>
    <col min="12" max="12" width="9.125" style="69" hidden="1" customWidth="1" outlineLevel="1"/>
    <col min="13" max="13" width="9.125" style="69" customWidth="1" collapsed="1"/>
    <col min="14" max="16384" width="9.125" style="69" customWidth="1"/>
  </cols>
  <sheetData>
    <row r="1" spans="1:8" ht="12.75">
      <c r="A1" s="4"/>
      <c r="B1" s="5"/>
      <c r="C1" s="5"/>
      <c r="D1" s="5"/>
      <c r="E1" s="31"/>
      <c r="F1" s="4"/>
      <c r="G1" s="6"/>
      <c r="H1" s="20" t="s">
        <v>3</v>
      </c>
    </row>
    <row r="2" spans="1:8" ht="25.5">
      <c r="A2" s="4"/>
      <c r="B2" s="5"/>
      <c r="C2" s="5"/>
      <c r="D2" s="5"/>
      <c r="E2" s="31"/>
      <c r="F2" s="4"/>
      <c r="G2" s="6"/>
      <c r="H2" s="20" t="s">
        <v>1</v>
      </c>
    </row>
    <row r="3" spans="1:8" ht="12.75">
      <c r="A3" s="4"/>
      <c r="B3" s="5"/>
      <c r="C3" s="5"/>
      <c r="D3" s="5"/>
      <c r="E3" s="31"/>
      <c r="F3" s="4"/>
      <c r="G3" s="6"/>
      <c r="H3" s="20" t="s">
        <v>2</v>
      </c>
    </row>
    <row r="4" spans="1:8" ht="12.75">
      <c r="A4" s="4"/>
      <c r="B4" s="5"/>
      <c r="C4" s="5"/>
      <c r="D4" s="5"/>
      <c r="E4" s="31"/>
      <c r="F4" s="4"/>
      <c r="G4" s="6"/>
      <c r="H4" s="2"/>
    </row>
    <row r="5" spans="1:8" ht="12.75">
      <c r="A5" s="4"/>
      <c r="B5" s="5"/>
      <c r="C5" s="5"/>
      <c r="D5" s="5"/>
      <c r="E5" s="31"/>
      <c r="F5" s="4"/>
      <c r="G5" s="6"/>
      <c r="H5" s="2"/>
    </row>
    <row r="6" spans="1:8" ht="15.75">
      <c r="A6" s="119" t="s">
        <v>4</v>
      </c>
      <c r="B6" s="119"/>
      <c r="C6" s="119"/>
      <c r="D6" s="119"/>
      <c r="E6" s="119"/>
      <c r="F6" s="119"/>
      <c r="G6" s="119"/>
      <c r="H6" s="119"/>
    </row>
    <row r="7" spans="1:8" ht="15.75">
      <c r="A7" s="119" t="s">
        <v>190</v>
      </c>
      <c r="B7" s="119"/>
      <c r="C7" s="119"/>
      <c r="D7" s="119"/>
      <c r="E7" s="119"/>
      <c r="F7" s="119"/>
      <c r="G7" s="119"/>
      <c r="H7" s="119"/>
    </row>
    <row r="8" spans="1:8" ht="15.75">
      <c r="A8" s="119"/>
      <c r="B8" s="119"/>
      <c r="C8" s="119"/>
      <c r="D8" s="119"/>
      <c r="E8" s="119"/>
      <c r="F8" s="119"/>
      <c r="G8" s="119"/>
      <c r="H8" s="119"/>
    </row>
    <row r="9" spans="1:8" ht="12.75">
      <c r="A9" s="4"/>
      <c r="B9" s="5"/>
      <c r="C9" s="5"/>
      <c r="D9" s="5"/>
      <c r="E9" s="31"/>
      <c r="F9" s="4"/>
      <c r="G9" s="6"/>
      <c r="H9" s="2"/>
    </row>
    <row r="10" spans="1:10" s="71" customFormat="1" ht="178.5" customHeight="1">
      <c r="A10" s="24" t="s">
        <v>0</v>
      </c>
      <c r="B10" s="24" t="s">
        <v>7</v>
      </c>
      <c r="C10" s="24" t="s">
        <v>25</v>
      </c>
      <c r="D10" s="24" t="s">
        <v>26</v>
      </c>
      <c r="E10" s="24" t="s">
        <v>14</v>
      </c>
      <c r="F10" s="24" t="s">
        <v>13</v>
      </c>
      <c r="G10" s="22" t="s">
        <v>27</v>
      </c>
      <c r="H10" s="24" t="s">
        <v>9</v>
      </c>
      <c r="I10" s="70" t="s">
        <v>229</v>
      </c>
      <c r="J10" s="70" t="s">
        <v>38</v>
      </c>
    </row>
    <row r="11" spans="1:10" ht="12.75">
      <c r="A11" s="11">
        <v>1</v>
      </c>
      <c r="B11" s="11">
        <v>2</v>
      </c>
      <c r="C11" s="11">
        <v>3</v>
      </c>
      <c r="D11" s="11">
        <v>4</v>
      </c>
      <c r="E11" s="8">
        <v>5</v>
      </c>
      <c r="F11" s="11">
        <v>6</v>
      </c>
      <c r="G11" s="11">
        <v>7</v>
      </c>
      <c r="H11" s="8">
        <v>8</v>
      </c>
      <c r="J11" s="69"/>
    </row>
    <row r="12" spans="1:12" ht="89.25" customHeight="1">
      <c r="A12" s="13" t="s">
        <v>12</v>
      </c>
      <c r="B12" s="120"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20"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20"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24" t="s">
        <v>21</v>
      </c>
      <c r="F12" s="21" t="str">
        <f>L12</f>
        <v>12994 шт</v>
      </c>
      <c r="G12" s="75">
        <f>SUM(I12:J12)</f>
        <v>1611917</v>
      </c>
      <c r="H12" s="79" t="s">
        <v>253</v>
      </c>
      <c r="J12" s="21">
        <v>1611917</v>
      </c>
      <c r="K12" s="78" t="s">
        <v>262</v>
      </c>
      <c r="L12" s="21" t="s">
        <v>261</v>
      </c>
    </row>
    <row r="13" spans="1:12" ht="89.25" customHeight="1">
      <c r="A13" s="13" t="s">
        <v>28</v>
      </c>
      <c r="B13" s="123"/>
      <c r="C13" s="123"/>
      <c r="D13" s="123"/>
      <c r="E13" s="24" t="s">
        <v>23</v>
      </c>
      <c r="F13" s="21">
        <v>0</v>
      </c>
      <c r="G13" s="75">
        <f aca="true" t="shared" si="0" ref="G13:G19">SUM(I13:J13)</f>
        <v>0</v>
      </c>
      <c r="H13" s="30">
        <v>0</v>
      </c>
      <c r="J13" s="21">
        <v>0</v>
      </c>
      <c r="K13" s="21">
        <v>0</v>
      </c>
      <c r="L13" s="77">
        <v>0</v>
      </c>
    </row>
    <row r="14" spans="1:12" ht="89.25" customHeight="1">
      <c r="A14" s="13" t="s">
        <v>29</v>
      </c>
      <c r="B14" s="123"/>
      <c r="C14" s="123"/>
      <c r="D14" s="123"/>
      <c r="E14" s="24" t="s">
        <v>24</v>
      </c>
      <c r="F14" s="21" t="s">
        <v>271</v>
      </c>
      <c r="G14" s="75">
        <f t="shared" si="0"/>
        <v>2077700</v>
      </c>
      <c r="H14" s="30" t="s">
        <v>272</v>
      </c>
      <c r="I14" s="68">
        <f>сводка!H67</f>
        <v>1120000</v>
      </c>
      <c r="J14" s="21">
        <v>957700</v>
      </c>
      <c r="K14" s="78" t="s">
        <v>264</v>
      </c>
      <c r="L14" s="21" t="s">
        <v>263</v>
      </c>
    </row>
    <row r="15" spans="1:12" ht="103.5" customHeight="1">
      <c r="A15" s="13" t="s">
        <v>30</v>
      </c>
      <c r="B15" s="123"/>
      <c r="C15" s="123"/>
      <c r="D15" s="123"/>
      <c r="E15" s="76" t="s">
        <v>22</v>
      </c>
      <c r="F15" s="21" t="s">
        <v>274</v>
      </c>
      <c r="G15" s="75">
        <f t="shared" si="0"/>
        <v>40328725.697799996</v>
      </c>
      <c r="H15" s="30" t="s">
        <v>273</v>
      </c>
      <c r="I15" s="68">
        <f>сводка!H43+сводка!H45+сводка!H48+сводка!H54</f>
        <v>38808757.697799996</v>
      </c>
      <c r="J15" s="21">
        <v>1519968</v>
      </c>
      <c r="K15" s="78" t="s">
        <v>266</v>
      </c>
      <c r="L15" s="21" t="s">
        <v>265</v>
      </c>
    </row>
    <row r="16" spans="1:12" ht="89.25" customHeight="1">
      <c r="A16" s="13" t="s">
        <v>31</v>
      </c>
      <c r="B16" s="123"/>
      <c r="C16" s="123"/>
      <c r="D16" s="123"/>
      <c r="E16" s="76" t="s">
        <v>20</v>
      </c>
      <c r="F16" s="21" t="str">
        <f>L16</f>
        <v>1395 шт</v>
      </c>
      <c r="G16" s="75">
        <f t="shared" si="0"/>
        <v>106731</v>
      </c>
      <c r="H16" s="30" t="s">
        <v>275</v>
      </c>
      <c r="J16" s="21">
        <v>106731</v>
      </c>
      <c r="K16" s="78" t="s">
        <v>268</v>
      </c>
      <c r="L16" s="21" t="s">
        <v>267</v>
      </c>
    </row>
    <row r="17" spans="1:12" ht="89.25" customHeight="1">
      <c r="A17" s="13" t="s">
        <v>32</v>
      </c>
      <c r="B17" s="123"/>
      <c r="C17" s="123"/>
      <c r="D17" s="123"/>
      <c r="E17" s="76" t="s">
        <v>19</v>
      </c>
      <c r="F17" s="21" t="s">
        <v>233</v>
      </c>
      <c r="G17" s="75">
        <f t="shared" si="0"/>
        <v>10271554.4</v>
      </c>
      <c r="H17" s="30" t="s">
        <v>11</v>
      </c>
      <c r="I17" s="68">
        <f>сводка!H60+сводка!H61</f>
        <v>10271554.4</v>
      </c>
      <c r="J17" s="21">
        <v>0</v>
      </c>
      <c r="K17" s="21">
        <v>0</v>
      </c>
      <c r="L17" s="21">
        <v>0</v>
      </c>
    </row>
    <row r="18" spans="1:12" ht="89.25" customHeight="1">
      <c r="A18" s="13" t="s">
        <v>34</v>
      </c>
      <c r="B18" s="123"/>
      <c r="C18" s="123"/>
      <c r="D18" s="123"/>
      <c r="E18" s="24" t="s">
        <v>33</v>
      </c>
      <c r="F18" s="21" t="str">
        <f>L18</f>
        <v>205 шт</v>
      </c>
      <c r="G18" s="75">
        <f t="shared" si="0"/>
        <v>488350</v>
      </c>
      <c r="H18" s="79" t="s">
        <v>253</v>
      </c>
      <c r="J18" s="21">
        <v>488350</v>
      </c>
      <c r="K18" s="78" t="s">
        <v>270</v>
      </c>
      <c r="L18" s="21" t="s">
        <v>269</v>
      </c>
    </row>
    <row r="19" spans="1:12" ht="115.5" customHeight="1">
      <c r="A19" s="13" t="s">
        <v>36</v>
      </c>
      <c r="B19" s="124"/>
      <c r="C19" s="124"/>
      <c r="D19" s="124"/>
      <c r="E19" s="76" t="s">
        <v>35</v>
      </c>
      <c r="F19" s="21" t="s">
        <v>234</v>
      </c>
      <c r="G19" s="75">
        <f t="shared" si="0"/>
        <v>8882400</v>
      </c>
      <c r="H19" s="30" t="s">
        <v>18</v>
      </c>
      <c r="I19" s="68">
        <f>сводка!H65+сводка!H66</f>
        <v>8882400</v>
      </c>
      <c r="J19" s="21">
        <v>0</v>
      </c>
      <c r="K19" s="21">
        <v>0</v>
      </c>
      <c r="L19" s="21">
        <v>0</v>
      </c>
    </row>
    <row r="20" spans="1:10" ht="12.75">
      <c r="A20" s="4"/>
      <c r="B20" s="5"/>
      <c r="C20" s="5"/>
      <c r="D20" s="5"/>
      <c r="E20" s="31"/>
      <c r="F20" s="4"/>
      <c r="G20" s="81">
        <f>SUM(G12:G19)</f>
        <v>63767378.097799994</v>
      </c>
      <c r="H20" s="2"/>
      <c r="I20" s="68">
        <f>SUM(I12:I19)</f>
        <v>59082712.097799994</v>
      </c>
      <c r="J20" s="68">
        <f>SUM(J12:J19)</f>
        <v>4684666</v>
      </c>
    </row>
    <row r="26" ht="12.75">
      <c r="G26" s="73"/>
    </row>
  </sheetData>
  <sheetProtection/>
  <mergeCells count="6">
    <mergeCell ref="A6:H6"/>
    <mergeCell ref="A7:H7"/>
    <mergeCell ref="A8:H8"/>
    <mergeCell ref="B12:B19"/>
    <mergeCell ref="C12:C19"/>
    <mergeCell ref="D12:D19"/>
  </mergeCells>
  <printOptions/>
  <pageMargins left="0.2362204724409449" right="0.2362204724409449" top="0.7480314960629921" bottom="0.7480314960629921" header="0.31496062992125984" footer="0.31496062992125984"/>
  <pageSetup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dimension ref="A1:H23"/>
  <sheetViews>
    <sheetView zoomScale="80" zoomScaleNormal="80" zoomScalePageLayoutView="0" workbookViewId="0" topLeftCell="A16">
      <selection activeCell="F19" sqref="F19"/>
    </sheetView>
  </sheetViews>
  <sheetFormatPr defaultColWidth="9.00390625" defaultRowHeight="12.75"/>
  <cols>
    <col min="1" max="1" width="8.25390625" style="0" customWidth="1"/>
    <col min="2" max="2" width="53.00390625" style="0" customWidth="1"/>
    <col min="3" max="4" width="36.375" style="0" customWidth="1"/>
    <col min="5" max="5" width="31.00390625" style="33" customWidth="1"/>
    <col min="6" max="8" width="21.625" style="0" customWidth="1"/>
    <col min="9" max="9" width="18.625" style="0" customWidth="1"/>
  </cols>
  <sheetData>
    <row r="1" spans="1:8" ht="12.75">
      <c r="A1" s="4"/>
      <c r="B1" s="5"/>
      <c r="C1" s="5"/>
      <c r="D1" s="5"/>
      <c r="E1" s="2"/>
      <c r="F1" s="4"/>
      <c r="G1" s="6"/>
      <c r="H1" s="20" t="s">
        <v>3</v>
      </c>
    </row>
    <row r="2" spans="1:8" ht="12.75">
      <c r="A2" s="4"/>
      <c r="B2" s="5"/>
      <c r="C2" s="5"/>
      <c r="D2" s="5"/>
      <c r="E2" s="2"/>
      <c r="F2" s="4"/>
      <c r="G2" s="6"/>
      <c r="H2" s="20" t="s">
        <v>1</v>
      </c>
    </row>
    <row r="3" spans="1:8" ht="12.75">
      <c r="A3" s="4"/>
      <c r="B3" s="5"/>
      <c r="C3" s="5"/>
      <c r="D3" s="5"/>
      <c r="E3" s="2"/>
      <c r="F3" s="4"/>
      <c r="G3" s="6"/>
      <c r="H3" s="20" t="s">
        <v>2</v>
      </c>
    </row>
    <row r="4" spans="1:8" ht="12.75">
      <c r="A4" s="4"/>
      <c r="B4" s="5"/>
      <c r="C4" s="5"/>
      <c r="D4" s="5"/>
      <c r="E4" s="2"/>
      <c r="F4" s="4"/>
      <c r="G4" s="6"/>
      <c r="H4" s="2"/>
    </row>
    <row r="5" spans="1:8" ht="12.75">
      <c r="A5" s="4"/>
      <c r="B5" s="5"/>
      <c r="C5" s="5"/>
      <c r="D5" s="5"/>
      <c r="E5" s="2"/>
      <c r="F5" s="4"/>
      <c r="G5" s="6"/>
      <c r="H5" s="2"/>
    </row>
    <row r="6" spans="1:8" ht="15.75">
      <c r="A6" s="119" t="s">
        <v>4</v>
      </c>
      <c r="B6" s="119"/>
      <c r="C6" s="119"/>
      <c r="D6" s="119"/>
      <c r="E6" s="119"/>
      <c r="F6" s="119"/>
      <c r="G6" s="119"/>
      <c r="H6" s="119"/>
    </row>
    <row r="7" spans="1:8" ht="15.75">
      <c r="A7" s="119" t="s">
        <v>191</v>
      </c>
      <c r="B7" s="119"/>
      <c r="C7" s="119"/>
      <c r="D7" s="119"/>
      <c r="E7" s="119"/>
      <c r="F7" s="119"/>
      <c r="G7" s="119"/>
      <c r="H7" s="119"/>
    </row>
    <row r="8" spans="1:8" ht="15.75">
      <c r="A8" s="119"/>
      <c r="B8" s="119"/>
      <c r="C8" s="119"/>
      <c r="D8" s="119"/>
      <c r="E8" s="119"/>
      <c r="F8" s="119"/>
      <c r="G8" s="119"/>
      <c r="H8" s="119"/>
    </row>
    <row r="9" spans="1:8" ht="12.75">
      <c r="A9" s="4"/>
      <c r="B9" s="5"/>
      <c r="C9" s="5"/>
      <c r="D9" s="5"/>
      <c r="E9" s="2"/>
      <c r="F9" s="4"/>
      <c r="G9" s="6"/>
      <c r="H9" s="2"/>
    </row>
    <row r="10" spans="1:8" s="25" customFormat="1" ht="155.25" customHeight="1">
      <c r="A10" s="24" t="s">
        <v>0</v>
      </c>
      <c r="B10" s="24" t="s">
        <v>7</v>
      </c>
      <c r="C10" s="24" t="s">
        <v>25</v>
      </c>
      <c r="D10" s="24" t="s">
        <v>26</v>
      </c>
      <c r="E10" s="24" t="s">
        <v>14</v>
      </c>
      <c r="F10" s="24" t="s">
        <v>13</v>
      </c>
      <c r="G10" s="22" t="s">
        <v>27</v>
      </c>
      <c r="H10" s="24" t="s">
        <v>9</v>
      </c>
    </row>
    <row r="11" spans="1:8" ht="12.75">
      <c r="A11" s="11">
        <v>1</v>
      </c>
      <c r="B11" s="11">
        <v>2</v>
      </c>
      <c r="C11" s="11">
        <v>3</v>
      </c>
      <c r="D11" s="11">
        <v>4</v>
      </c>
      <c r="E11" s="8">
        <v>5</v>
      </c>
      <c r="F11" s="11">
        <v>6</v>
      </c>
      <c r="G11" s="11">
        <v>7</v>
      </c>
      <c r="H11" s="8">
        <v>8</v>
      </c>
    </row>
    <row r="12" spans="1:8" ht="112.5" customHeight="1">
      <c r="A12" s="13" t="s">
        <v>12</v>
      </c>
      <c r="B12" s="120"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20"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20"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10" t="s">
        <v>21</v>
      </c>
      <c r="F12" s="104" t="s">
        <v>354</v>
      </c>
      <c r="G12" s="104">
        <f>январь!G12+февраль!G12+март!G12</f>
        <v>5672413.58</v>
      </c>
      <c r="H12" s="104" t="s">
        <v>352</v>
      </c>
    </row>
    <row r="13" spans="1:8" ht="126" customHeight="1">
      <c r="A13" s="13" t="s">
        <v>28</v>
      </c>
      <c r="B13" s="123"/>
      <c r="C13" s="123"/>
      <c r="D13" s="123"/>
      <c r="E13" s="111" t="s">
        <v>23</v>
      </c>
      <c r="F13" s="105">
        <v>0</v>
      </c>
      <c r="G13" s="106">
        <f>январь!G13+февраль!G13+март!G13</f>
        <v>0</v>
      </c>
      <c r="H13" s="107" t="s">
        <v>353</v>
      </c>
    </row>
    <row r="14" spans="1:8" ht="126" customHeight="1">
      <c r="A14" s="13" t="s">
        <v>29</v>
      </c>
      <c r="B14" s="123"/>
      <c r="C14" s="123"/>
      <c r="D14" s="123"/>
      <c r="E14" s="111" t="s">
        <v>24</v>
      </c>
      <c r="F14" s="105" t="s">
        <v>355</v>
      </c>
      <c r="G14" s="106">
        <f>январь!G14+февраль!G14+март!G14</f>
        <v>4437700</v>
      </c>
      <c r="H14" s="107" t="s">
        <v>254</v>
      </c>
    </row>
    <row r="15" spans="1:8" ht="141" customHeight="1">
      <c r="A15" s="13" t="s">
        <v>30</v>
      </c>
      <c r="B15" s="123"/>
      <c r="C15" s="123"/>
      <c r="D15" s="123"/>
      <c r="E15" s="111" t="s">
        <v>22</v>
      </c>
      <c r="F15" s="104" t="s">
        <v>356</v>
      </c>
      <c r="G15" s="106">
        <f>январь!G15+февраль!G15+март!G15</f>
        <v>55686575.666999996</v>
      </c>
      <c r="H15" s="104" t="s">
        <v>255</v>
      </c>
    </row>
    <row r="16" spans="1:8" ht="135" customHeight="1">
      <c r="A16" s="13" t="s">
        <v>31</v>
      </c>
      <c r="B16" s="123"/>
      <c r="C16" s="123"/>
      <c r="D16" s="123"/>
      <c r="E16" s="111" t="s">
        <v>20</v>
      </c>
      <c r="F16" s="104" t="s">
        <v>357</v>
      </c>
      <c r="G16" s="106">
        <f>январь!G16+февраль!G16+март!G16</f>
        <v>2012555.68</v>
      </c>
      <c r="H16" s="104" t="s">
        <v>253</v>
      </c>
    </row>
    <row r="17" spans="1:8" ht="126" customHeight="1">
      <c r="A17" s="13" t="s">
        <v>32</v>
      </c>
      <c r="B17" s="123"/>
      <c r="C17" s="123"/>
      <c r="D17" s="123"/>
      <c r="E17" s="111" t="s">
        <v>19</v>
      </c>
      <c r="F17" s="105" t="s">
        <v>233</v>
      </c>
      <c r="G17" s="106">
        <f>январь!G17+февраль!G17+март!G17</f>
        <v>10271554.4</v>
      </c>
      <c r="H17" s="104" t="s">
        <v>11</v>
      </c>
    </row>
    <row r="18" spans="1:8" ht="126" customHeight="1">
      <c r="A18" s="13" t="s">
        <v>34</v>
      </c>
      <c r="B18" s="123"/>
      <c r="C18" s="123"/>
      <c r="D18" s="123"/>
      <c r="E18" s="111" t="s">
        <v>33</v>
      </c>
      <c r="F18" s="104" t="s">
        <v>358</v>
      </c>
      <c r="G18" s="106">
        <f>январь!G18+февраль!G18+март!G18</f>
        <v>1186025</v>
      </c>
      <c r="H18" s="104" t="s">
        <v>257</v>
      </c>
    </row>
    <row r="19" spans="1:8" ht="163.5" customHeight="1">
      <c r="A19" s="13" t="s">
        <v>36</v>
      </c>
      <c r="B19" s="124"/>
      <c r="C19" s="124"/>
      <c r="D19" s="124"/>
      <c r="E19" s="111" t="s">
        <v>35</v>
      </c>
      <c r="F19" s="105" t="s">
        <v>220</v>
      </c>
      <c r="G19" s="106">
        <f>январь!G19+февраль!G19+март!G19</f>
        <v>38198300.010000005</v>
      </c>
      <c r="H19" s="104" t="s">
        <v>230</v>
      </c>
    </row>
    <row r="20" spans="1:8" ht="12.75">
      <c r="A20" s="4"/>
      <c r="B20" s="5"/>
      <c r="C20" s="5"/>
      <c r="D20" s="5"/>
      <c r="E20" s="2"/>
      <c r="F20" s="108"/>
      <c r="G20" s="97">
        <f>SUM(G12:G19)</f>
        <v>117465124.33700001</v>
      </c>
      <c r="H20" s="109"/>
    </row>
    <row r="21" ht="12.75">
      <c r="G21" s="34"/>
    </row>
    <row r="23" ht="12.75">
      <c r="G23" s="26"/>
    </row>
  </sheetData>
  <sheetProtection/>
  <mergeCells count="6">
    <mergeCell ref="A6:H6"/>
    <mergeCell ref="A7:H7"/>
    <mergeCell ref="A8:H8"/>
    <mergeCell ref="B12:B19"/>
    <mergeCell ref="C12:C19"/>
    <mergeCell ref="D12:D19"/>
  </mergeCells>
  <printOptions/>
  <pageMargins left="0.2362204724409449" right="0.2362204724409449" top="0.7480314960629921" bottom="0.7480314960629921" header="0.31496062992125984" footer="0.31496062992125984"/>
  <pageSetup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dimension ref="A1:J20"/>
  <sheetViews>
    <sheetView zoomScalePageLayoutView="0" workbookViewId="0" topLeftCell="C16">
      <selection activeCell="J20" sqref="J20"/>
    </sheetView>
  </sheetViews>
  <sheetFormatPr defaultColWidth="9.00390625" defaultRowHeight="12.75" outlineLevelCol="1"/>
  <cols>
    <col min="1" max="1" width="8.25390625" style="0" customWidth="1"/>
    <col min="2" max="2" width="54.00390625" style="0" customWidth="1"/>
    <col min="3" max="4" width="35.125" style="0" customWidth="1"/>
    <col min="5" max="5" width="31.00390625" style="33" customWidth="1"/>
    <col min="6" max="7" width="21.625" style="0" customWidth="1"/>
    <col min="8" max="8" width="21.625" style="33" customWidth="1"/>
    <col min="9" max="9" width="18.625" style="0" hidden="1" customWidth="1" outlineLevel="1"/>
    <col min="10" max="10" width="20.625" style="0" hidden="1" customWidth="1" outlineLevel="1"/>
    <col min="11" max="11" width="9.125" style="0" customWidth="1" collapsed="1"/>
  </cols>
  <sheetData>
    <row r="1" spans="1:8" ht="12.75">
      <c r="A1" s="4"/>
      <c r="B1" s="5"/>
      <c r="C1" s="5"/>
      <c r="D1" s="5"/>
      <c r="E1" s="2"/>
      <c r="F1" s="4"/>
      <c r="G1" s="6"/>
      <c r="H1" s="20" t="s">
        <v>3</v>
      </c>
    </row>
    <row r="2" spans="1:8" ht="12.75">
      <c r="A2" s="4"/>
      <c r="B2" s="5"/>
      <c r="C2" s="5"/>
      <c r="D2" s="5"/>
      <c r="E2" s="2"/>
      <c r="F2" s="4"/>
      <c r="G2" s="6"/>
      <c r="H2" s="20" t="s">
        <v>1</v>
      </c>
    </row>
    <row r="3" spans="1:8" ht="12.75">
      <c r="A3" s="4"/>
      <c r="B3" s="5"/>
      <c r="C3" s="5"/>
      <c r="D3" s="5"/>
      <c r="E3" s="2"/>
      <c r="F3" s="4"/>
      <c r="G3" s="6"/>
      <c r="H3" s="20" t="s">
        <v>2</v>
      </c>
    </row>
    <row r="4" spans="1:8" ht="12.75">
      <c r="A4" s="4"/>
      <c r="B4" s="5"/>
      <c r="C4" s="5"/>
      <c r="D4" s="5"/>
      <c r="E4" s="2"/>
      <c r="F4" s="4"/>
      <c r="G4" s="6"/>
      <c r="H4" s="2"/>
    </row>
    <row r="5" spans="1:8" ht="12.75">
      <c r="A5" s="4"/>
      <c r="B5" s="5"/>
      <c r="C5" s="5"/>
      <c r="D5" s="5"/>
      <c r="E5" s="2"/>
      <c r="F5" s="4"/>
      <c r="G5" s="6"/>
      <c r="H5" s="2"/>
    </row>
    <row r="6" spans="1:8" ht="15.75">
      <c r="A6" s="119" t="s">
        <v>4</v>
      </c>
      <c r="B6" s="119"/>
      <c r="C6" s="119"/>
      <c r="D6" s="119"/>
      <c r="E6" s="119"/>
      <c r="F6" s="119"/>
      <c r="G6" s="119"/>
      <c r="H6" s="119"/>
    </row>
    <row r="7" spans="1:8" ht="15.75">
      <c r="A7" s="119" t="s">
        <v>348</v>
      </c>
      <c r="B7" s="119"/>
      <c r="C7" s="119"/>
      <c r="D7" s="119"/>
      <c r="E7" s="119"/>
      <c r="F7" s="119"/>
      <c r="G7" s="119"/>
      <c r="H7" s="119"/>
    </row>
    <row r="8" spans="1:8" ht="15.75">
      <c r="A8" s="119"/>
      <c r="B8" s="119"/>
      <c r="C8" s="119"/>
      <c r="D8" s="119"/>
      <c r="E8" s="119"/>
      <c r="F8" s="119"/>
      <c r="G8" s="119"/>
      <c r="H8" s="119"/>
    </row>
    <row r="9" spans="1:8" ht="12.75">
      <c r="A9" s="4"/>
      <c r="B9" s="5"/>
      <c r="C9" s="5"/>
      <c r="D9" s="5"/>
      <c r="E9" s="2"/>
      <c r="F9" s="4"/>
      <c r="G9" s="6"/>
      <c r="H9" s="2"/>
    </row>
    <row r="10" spans="1:10" s="25" customFormat="1" ht="127.5">
      <c r="A10" s="24" t="s">
        <v>0</v>
      </c>
      <c r="B10" s="24" t="s">
        <v>7</v>
      </c>
      <c r="C10" s="24" t="s">
        <v>25</v>
      </c>
      <c r="D10" s="24" t="s">
        <v>26</v>
      </c>
      <c r="E10" s="24" t="s">
        <v>14</v>
      </c>
      <c r="F10" s="24" t="s">
        <v>13</v>
      </c>
      <c r="G10" s="22" t="s">
        <v>27</v>
      </c>
      <c r="H10" s="24" t="s">
        <v>9</v>
      </c>
      <c r="I10" s="70" t="s">
        <v>229</v>
      </c>
      <c r="J10" s="70" t="s">
        <v>38</v>
      </c>
    </row>
    <row r="11" spans="1:10" ht="12.75">
      <c r="A11" s="11">
        <v>1</v>
      </c>
      <c r="B11" s="11">
        <v>2</v>
      </c>
      <c r="C11" s="11">
        <v>3</v>
      </c>
      <c r="D11" s="11">
        <v>4</v>
      </c>
      <c r="E11" s="8">
        <v>5</v>
      </c>
      <c r="F11" s="11">
        <v>6</v>
      </c>
      <c r="G11" s="11">
        <v>7</v>
      </c>
      <c r="H11" s="8">
        <v>8</v>
      </c>
      <c r="I11" s="70"/>
      <c r="J11" s="70"/>
    </row>
    <row r="12" spans="1:10" ht="117.75" customHeight="1">
      <c r="A12" s="13" t="s">
        <v>12</v>
      </c>
      <c r="B12" s="120"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20"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20"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78" t="s">
        <v>21</v>
      </c>
      <c r="F12" s="30" t="str">
        <f>'[1]апрель'!$F$12</f>
        <v>1 553 шт</v>
      </c>
      <c r="G12" s="21">
        <f>SUM(I12:J12)</f>
        <v>802251</v>
      </c>
      <c r="H12" s="30" t="s">
        <v>361</v>
      </c>
      <c r="I12" s="70"/>
      <c r="J12" s="70">
        <v>802251</v>
      </c>
    </row>
    <row r="13" spans="1:10" ht="117.75" customHeight="1">
      <c r="A13" s="13" t="s">
        <v>28</v>
      </c>
      <c r="B13" s="123"/>
      <c r="C13" s="123"/>
      <c r="D13" s="123"/>
      <c r="E13" s="78" t="s">
        <v>23</v>
      </c>
      <c r="F13" s="30">
        <v>0</v>
      </c>
      <c r="G13" s="21">
        <f aca="true" t="shared" si="0" ref="G13:G19">SUM(I13:J13)</f>
        <v>0</v>
      </c>
      <c r="H13" s="30">
        <v>0</v>
      </c>
      <c r="I13" s="70"/>
      <c r="J13" s="70"/>
    </row>
    <row r="14" spans="1:10" ht="117.75" customHeight="1">
      <c r="A14" s="13" t="s">
        <v>29</v>
      </c>
      <c r="B14" s="123"/>
      <c r="C14" s="123"/>
      <c r="D14" s="123"/>
      <c r="E14" s="78" t="s">
        <v>24</v>
      </c>
      <c r="F14" s="30" t="s">
        <v>362</v>
      </c>
      <c r="G14" s="21">
        <f t="shared" si="0"/>
        <v>2553379</v>
      </c>
      <c r="H14" s="30" t="s">
        <v>363</v>
      </c>
      <c r="I14" s="70">
        <f>сводка!H83</f>
        <v>1215800</v>
      </c>
      <c r="J14" s="70">
        <v>1337579</v>
      </c>
    </row>
    <row r="15" spans="1:10" ht="117.75" customHeight="1">
      <c r="A15" s="13" t="s">
        <v>30</v>
      </c>
      <c r="B15" s="123"/>
      <c r="C15" s="123"/>
      <c r="D15" s="123"/>
      <c r="E15" s="78" t="s">
        <v>22</v>
      </c>
      <c r="F15" s="30" t="s">
        <v>364</v>
      </c>
      <c r="G15" s="21">
        <f t="shared" si="0"/>
        <v>1954894</v>
      </c>
      <c r="H15" s="30" t="s">
        <v>363</v>
      </c>
      <c r="I15" s="70">
        <f>сводка!H71</f>
        <v>1200000</v>
      </c>
      <c r="J15" s="70">
        <v>754894</v>
      </c>
    </row>
    <row r="16" spans="1:10" ht="117.75" customHeight="1">
      <c r="A16" s="13" t="s">
        <v>31</v>
      </c>
      <c r="B16" s="123"/>
      <c r="C16" s="123"/>
      <c r="D16" s="123"/>
      <c r="E16" s="78" t="s">
        <v>20</v>
      </c>
      <c r="F16" s="30" t="str">
        <f>'[1]апрель'!$F$16</f>
        <v>1 214 шт</v>
      </c>
      <c r="G16" s="21">
        <f t="shared" si="0"/>
        <v>58149</v>
      </c>
      <c r="H16" s="30" t="s">
        <v>361</v>
      </c>
      <c r="I16" s="70"/>
      <c r="J16" s="70">
        <v>58149</v>
      </c>
    </row>
    <row r="17" spans="1:10" ht="117.75" customHeight="1">
      <c r="A17" s="13" t="s">
        <v>32</v>
      </c>
      <c r="B17" s="123"/>
      <c r="C17" s="123"/>
      <c r="D17" s="123"/>
      <c r="E17" s="78" t="s">
        <v>19</v>
      </c>
      <c r="F17" s="30">
        <v>0</v>
      </c>
      <c r="G17" s="21">
        <f t="shared" si="0"/>
        <v>0</v>
      </c>
      <c r="H17" s="30">
        <v>0</v>
      </c>
      <c r="I17" s="70"/>
      <c r="J17" s="70"/>
    </row>
    <row r="18" spans="1:10" ht="117.75" customHeight="1">
      <c r="A18" s="13" t="s">
        <v>34</v>
      </c>
      <c r="B18" s="123"/>
      <c r="C18" s="123"/>
      <c r="D18" s="123"/>
      <c r="E18" s="78" t="s">
        <v>33</v>
      </c>
      <c r="F18" s="30" t="s">
        <v>365</v>
      </c>
      <c r="G18" s="21">
        <f t="shared" si="0"/>
        <v>11770010.23</v>
      </c>
      <c r="H18" s="30" t="s">
        <v>366</v>
      </c>
      <c r="I18" s="70">
        <f>сводка!H73+сводка!H75</f>
        <v>11543881.23</v>
      </c>
      <c r="J18" s="70">
        <v>226129</v>
      </c>
    </row>
    <row r="19" spans="1:10" ht="117.75" customHeight="1">
      <c r="A19" s="13" t="s">
        <v>36</v>
      </c>
      <c r="B19" s="124"/>
      <c r="C19" s="124"/>
      <c r="D19" s="124"/>
      <c r="E19" s="78" t="s">
        <v>35</v>
      </c>
      <c r="F19" s="30">
        <v>0</v>
      </c>
      <c r="G19" s="21">
        <f t="shared" si="0"/>
        <v>0</v>
      </c>
      <c r="H19" s="30">
        <v>0</v>
      </c>
      <c r="I19" s="70"/>
      <c r="J19" s="70"/>
    </row>
    <row r="20" spans="1:10" ht="12.75">
      <c r="A20" s="4"/>
      <c r="B20" s="5"/>
      <c r="C20" s="5"/>
      <c r="D20" s="5"/>
      <c r="E20" s="2"/>
      <c r="F20" s="4"/>
      <c r="G20" s="23">
        <f>SUM(G12:G19)</f>
        <v>17138683.23</v>
      </c>
      <c r="H20" s="2"/>
      <c r="I20" s="70">
        <f>SUM(I12:I19)</f>
        <v>13959681.23</v>
      </c>
      <c r="J20" s="70">
        <f>SUM(J12:J19)</f>
        <v>3179002</v>
      </c>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20"/>
  <sheetViews>
    <sheetView zoomScalePageLayoutView="0" workbookViewId="0" topLeftCell="A16">
      <selection activeCell="J20" sqref="J20"/>
    </sheetView>
  </sheetViews>
  <sheetFormatPr defaultColWidth="9.00390625" defaultRowHeight="12.75" outlineLevelCol="1"/>
  <cols>
    <col min="1" max="1" width="8.25390625" style="0" customWidth="1"/>
    <col min="2" max="2" width="47.25390625" style="0" customWidth="1"/>
    <col min="3" max="4" width="37.25390625" style="0" customWidth="1"/>
    <col min="5" max="5" width="31.00390625" style="0" customWidth="1"/>
    <col min="6" max="7" width="21.625" style="0" customWidth="1"/>
    <col min="8" max="8" width="21.625" style="33" customWidth="1"/>
    <col min="9" max="9" width="18.625" style="0" hidden="1" customWidth="1" outlineLevel="1"/>
    <col min="10" max="10" width="12.00390625" style="0" hidden="1" customWidth="1" outlineLevel="1"/>
    <col min="11" max="11" width="9.125" style="0" customWidth="1" collapsed="1"/>
  </cols>
  <sheetData>
    <row r="1" spans="1:8" ht="12.75">
      <c r="A1" s="4"/>
      <c r="B1" s="5"/>
      <c r="C1" s="5"/>
      <c r="D1" s="5"/>
      <c r="E1" s="2"/>
      <c r="F1" s="4"/>
      <c r="G1" s="6"/>
      <c r="H1" s="20" t="s">
        <v>3</v>
      </c>
    </row>
    <row r="2" spans="1:8" ht="12.75">
      <c r="A2" s="4"/>
      <c r="B2" s="5"/>
      <c r="C2" s="5"/>
      <c r="D2" s="5"/>
      <c r="E2" s="2"/>
      <c r="F2" s="4"/>
      <c r="G2" s="6"/>
      <c r="H2" s="20" t="s">
        <v>1</v>
      </c>
    </row>
    <row r="3" spans="1:8" ht="12.75">
      <c r="A3" s="4"/>
      <c r="B3" s="5"/>
      <c r="C3" s="5"/>
      <c r="D3" s="5"/>
      <c r="E3" s="2"/>
      <c r="F3" s="4"/>
      <c r="G3" s="6"/>
      <c r="H3" s="20" t="s">
        <v>2</v>
      </c>
    </row>
    <row r="4" spans="1:8" ht="12.75">
      <c r="A4" s="4"/>
      <c r="B4" s="5"/>
      <c r="C4" s="5"/>
      <c r="D4" s="5"/>
      <c r="E4" s="2"/>
      <c r="F4" s="4"/>
      <c r="G4" s="6"/>
      <c r="H4" s="2"/>
    </row>
    <row r="5" spans="1:8" ht="12.75">
      <c r="A5" s="4"/>
      <c r="B5" s="5"/>
      <c r="C5" s="5"/>
      <c r="D5" s="5"/>
      <c r="E5" s="2"/>
      <c r="F5" s="4"/>
      <c r="G5" s="6"/>
      <c r="H5" s="2"/>
    </row>
    <row r="6" spans="1:8" ht="15.75">
      <c r="A6" s="119" t="s">
        <v>4</v>
      </c>
      <c r="B6" s="119"/>
      <c r="C6" s="119"/>
      <c r="D6" s="119"/>
      <c r="E6" s="119"/>
      <c r="F6" s="119"/>
      <c r="G6" s="119"/>
      <c r="H6" s="119"/>
    </row>
    <row r="7" spans="1:8" ht="15.75">
      <c r="A7" s="119" t="s">
        <v>349</v>
      </c>
      <c r="B7" s="119"/>
      <c r="C7" s="119"/>
      <c r="D7" s="119"/>
      <c r="E7" s="119"/>
      <c r="F7" s="119"/>
      <c r="G7" s="119"/>
      <c r="H7" s="119"/>
    </row>
    <row r="8" spans="1:8" ht="15.75">
      <c r="A8" s="119"/>
      <c r="B8" s="119"/>
      <c r="C8" s="119"/>
      <c r="D8" s="119"/>
      <c r="E8" s="119"/>
      <c r="F8" s="119"/>
      <c r="G8" s="119"/>
      <c r="H8" s="119"/>
    </row>
    <row r="9" spans="1:8" ht="12.75">
      <c r="A9" s="4"/>
      <c r="B9" s="5"/>
      <c r="C9" s="5"/>
      <c r="D9" s="5"/>
      <c r="E9" s="2"/>
      <c r="F9" s="4"/>
      <c r="G9" s="6"/>
      <c r="H9" s="2"/>
    </row>
    <row r="10" spans="1:10" s="25" customFormat="1" ht="127.5">
      <c r="A10" s="24" t="s">
        <v>0</v>
      </c>
      <c r="B10" s="24" t="s">
        <v>7</v>
      </c>
      <c r="C10" s="24" t="s">
        <v>25</v>
      </c>
      <c r="D10" s="24" t="s">
        <v>26</v>
      </c>
      <c r="E10" s="24" t="s">
        <v>14</v>
      </c>
      <c r="F10" s="24" t="s">
        <v>13</v>
      </c>
      <c r="G10" s="22" t="s">
        <v>27</v>
      </c>
      <c r="H10" s="24" t="s">
        <v>9</v>
      </c>
      <c r="I10" s="70" t="s">
        <v>229</v>
      </c>
      <c r="J10" s="70" t="s">
        <v>38</v>
      </c>
    </row>
    <row r="11" spans="1:10" ht="12.75">
      <c r="A11" s="11">
        <v>1</v>
      </c>
      <c r="B11" s="11">
        <v>2</v>
      </c>
      <c r="C11" s="11">
        <v>3</v>
      </c>
      <c r="D11" s="11">
        <v>4</v>
      </c>
      <c r="E11" s="8">
        <v>5</v>
      </c>
      <c r="F11" s="11">
        <v>6</v>
      </c>
      <c r="G11" s="11">
        <v>7</v>
      </c>
      <c r="H11" s="8">
        <v>8</v>
      </c>
      <c r="I11" s="70"/>
      <c r="J11" s="70"/>
    </row>
    <row r="12" spans="1:10" s="35" customFormat="1" ht="132.75" customHeight="1">
      <c r="A12" s="13" t="s">
        <v>12</v>
      </c>
      <c r="B12" s="120"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20"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20"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78" t="s">
        <v>21</v>
      </c>
      <c r="F12" s="30" t="s">
        <v>367</v>
      </c>
      <c r="G12" s="21">
        <f>SUM(I12:J12)</f>
        <v>5464720.5</v>
      </c>
      <c r="H12" s="30" t="s">
        <v>368</v>
      </c>
      <c r="I12" s="70">
        <f>сводка!H84</f>
        <v>4489457.5</v>
      </c>
      <c r="J12" s="70">
        <v>975263</v>
      </c>
    </row>
    <row r="13" spans="1:10" s="35" customFormat="1" ht="132.75" customHeight="1">
      <c r="A13" s="13" t="s">
        <v>28</v>
      </c>
      <c r="B13" s="123"/>
      <c r="C13" s="123"/>
      <c r="D13" s="123"/>
      <c r="E13" s="78" t="s">
        <v>23</v>
      </c>
      <c r="F13" s="30" t="s">
        <v>347</v>
      </c>
      <c r="G13" s="21">
        <f aca="true" t="shared" si="0" ref="G13:G19">SUM(I13:J13)</f>
        <v>1065250.01</v>
      </c>
      <c r="H13" s="30" t="s">
        <v>18</v>
      </c>
      <c r="I13" s="70">
        <f>сводка!H85</f>
        <v>1065250.01</v>
      </c>
      <c r="J13" s="70"/>
    </row>
    <row r="14" spans="1:10" s="35" customFormat="1" ht="132.75" customHeight="1">
      <c r="A14" s="13" t="s">
        <v>29</v>
      </c>
      <c r="B14" s="123"/>
      <c r="C14" s="123"/>
      <c r="D14" s="123"/>
      <c r="E14" s="78" t="s">
        <v>24</v>
      </c>
      <c r="F14" s="30" t="s">
        <v>369</v>
      </c>
      <c r="G14" s="21">
        <f t="shared" si="0"/>
        <v>590516</v>
      </c>
      <c r="H14" s="30" t="s">
        <v>370</v>
      </c>
      <c r="I14" s="70"/>
      <c r="J14" s="70">
        <v>590516</v>
      </c>
    </row>
    <row r="15" spans="1:10" s="35" customFormat="1" ht="132.75" customHeight="1">
      <c r="A15" s="13" t="s">
        <v>30</v>
      </c>
      <c r="B15" s="123"/>
      <c r="C15" s="123"/>
      <c r="D15" s="123"/>
      <c r="E15" s="78" t="s">
        <v>22</v>
      </c>
      <c r="F15" s="30" t="s">
        <v>371</v>
      </c>
      <c r="G15" s="21">
        <f t="shared" si="0"/>
        <v>739200</v>
      </c>
      <c r="H15" s="30" t="s">
        <v>370</v>
      </c>
      <c r="I15" s="70"/>
      <c r="J15" s="70">
        <v>739200</v>
      </c>
    </row>
    <row r="16" spans="1:10" s="35" customFormat="1" ht="132.75" customHeight="1">
      <c r="A16" s="13" t="s">
        <v>31</v>
      </c>
      <c r="B16" s="123"/>
      <c r="C16" s="123"/>
      <c r="D16" s="123"/>
      <c r="E16" s="78" t="s">
        <v>20</v>
      </c>
      <c r="F16" s="30" t="s">
        <v>372</v>
      </c>
      <c r="G16" s="21">
        <f t="shared" si="0"/>
        <v>699648</v>
      </c>
      <c r="H16" s="30" t="s">
        <v>370</v>
      </c>
      <c r="I16" s="70"/>
      <c r="J16" s="70">
        <v>699648</v>
      </c>
    </row>
    <row r="17" spans="1:10" s="35" customFormat="1" ht="132.75" customHeight="1">
      <c r="A17" s="13" t="s">
        <v>32</v>
      </c>
      <c r="B17" s="123"/>
      <c r="C17" s="123"/>
      <c r="D17" s="123"/>
      <c r="E17" s="78" t="s">
        <v>19</v>
      </c>
      <c r="F17" s="30"/>
      <c r="G17" s="21">
        <f t="shared" si="0"/>
        <v>0</v>
      </c>
      <c r="H17" s="30">
        <v>0</v>
      </c>
      <c r="I17" s="70"/>
      <c r="J17" s="70"/>
    </row>
    <row r="18" spans="1:10" s="35" customFormat="1" ht="132.75" customHeight="1">
      <c r="A18" s="13" t="s">
        <v>34</v>
      </c>
      <c r="B18" s="123"/>
      <c r="C18" s="123"/>
      <c r="D18" s="123"/>
      <c r="E18" s="78" t="s">
        <v>33</v>
      </c>
      <c r="F18" s="30" t="s">
        <v>373</v>
      </c>
      <c r="G18" s="21">
        <f t="shared" si="0"/>
        <v>232343.07</v>
      </c>
      <c r="H18" s="30" t="s">
        <v>368</v>
      </c>
      <c r="I18" s="70">
        <f>сводка!H74+сводка!H76</f>
        <v>101523.07</v>
      </c>
      <c r="J18" s="70">
        <v>130820</v>
      </c>
    </row>
    <row r="19" spans="1:10" s="35" customFormat="1" ht="132.75" customHeight="1">
      <c r="A19" s="13" t="s">
        <v>36</v>
      </c>
      <c r="B19" s="124"/>
      <c r="C19" s="124"/>
      <c r="D19" s="124"/>
      <c r="E19" s="78" t="s">
        <v>35</v>
      </c>
      <c r="F19" s="30">
        <v>0</v>
      </c>
      <c r="G19" s="21">
        <f t="shared" si="0"/>
        <v>0</v>
      </c>
      <c r="H19" s="30">
        <v>0</v>
      </c>
      <c r="I19" s="70"/>
      <c r="J19" s="70"/>
    </row>
    <row r="20" spans="1:10" ht="12.75">
      <c r="A20" s="4"/>
      <c r="B20" s="5"/>
      <c r="C20" s="5"/>
      <c r="D20" s="5"/>
      <c r="E20" s="2"/>
      <c r="F20" s="4"/>
      <c r="G20" s="23">
        <f>SUM(G12:G19)</f>
        <v>8791677.58</v>
      </c>
      <c r="H20" s="2"/>
      <c r="I20" s="70">
        <f>SUM(I12:I19)</f>
        <v>5656230.58</v>
      </c>
      <c r="J20" s="70">
        <f>SUM(J12:J19)</f>
        <v>3135447</v>
      </c>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20"/>
  <sheetViews>
    <sheetView zoomScalePageLayoutView="0" workbookViewId="0" topLeftCell="A10">
      <selection activeCell="I19" sqref="I19"/>
    </sheetView>
  </sheetViews>
  <sheetFormatPr defaultColWidth="9.00390625" defaultRowHeight="12.75" outlineLevelCol="1"/>
  <cols>
    <col min="1" max="1" width="8.25390625" style="0" customWidth="1"/>
    <col min="2" max="2" width="49.25390625" style="35" customWidth="1"/>
    <col min="3" max="4" width="38.00390625" style="35" customWidth="1"/>
    <col min="5" max="5" width="31.00390625" style="0" customWidth="1"/>
    <col min="6" max="8" width="21.625" style="0" customWidth="1"/>
    <col min="9" max="9" width="18.625" style="0" hidden="1" customWidth="1" outlineLevel="1"/>
    <col min="10" max="10" width="10.375" style="0" hidden="1" customWidth="1" outlineLevel="1"/>
    <col min="11" max="11" width="9.125" style="0" customWidth="1" collapsed="1"/>
  </cols>
  <sheetData>
    <row r="1" spans="1:8" ht="12.75">
      <c r="A1" s="4"/>
      <c r="B1" s="5"/>
      <c r="C1" s="5"/>
      <c r="D1" s="5"/>
      <c r="E1" s="2"/>
      <c r="F1" s="4"/>
      <c r="G1" s="6"/>
      <c r="H1" s="20" t="s">
        <v>3</v>
      </c>
    </row>
    <row r="2" spans="1:8" ht="12.75">
      <c r="A2" s="4"/>
      <c r="B2" s="5"/>
      <c r="C2" s="5"/>
      <c r="D2" s="5"/>
      <c r="E2" s="2"/>
      <c r="F2" s="4"/>
      <c r="G2" s="6"/>
      <c r="H2" s="20" t="s">
        <v>1</v>
      </c>
    </row>
    <row r="3" spans="1:8" ht="12.75">
      <c r="A3" s="4"/>
      <c r="B3" s="5"/>
      <c r="C3" s="5"/>
      <c r="D3" s="5"/>
      <c r="E3" s="2"/>
      <c r="F3" s="4"/>
      <c r="G3" s="6"/>
      <c r="H3" s="20" t="s">
        <v>2</v>
      </c>
    </row>
    <row r="4" spans="1:8" ht="12.75">
      <c r="A4" s="4"/>
      <c r="B4" s="5"/>
      <c r="C4" s="5"/>
      <c r="D4" s="5"/>
      <c r="E4" s="2"/>
      <c r="F4" s="4"/>
      <c r="G4" s="6"/>
      <c r="H4" s="2"/>
    </row>
    <row r="5" spans="1:8" ht="12.75">
      <c r="A5" s="4"/>
      <c r="B5" s="5"/>
      <c r="C5" s="5"/>
      <c r="D5" s="5"/>
      <c r="E5" s="2"/>
      <c r="F5" s="4"/>
      <c r="G5" s="6"/>
      <c r="H5" s="2"/>
    </row>
    <row r="6" spans="1:8" ht="15.75">
      <c r="A6" s="119" t="s">
        <v>4</v>
      </c>
      <c r="B6" s="119"/>
      <c r="C6" s="119"/>
      <c r="D6" s="119"/>
      <c r="E6" s="119"/>
      <c r="F6" s="119"/>
      <c r="G6" s="119"/>
      <c r="H6" s="119"/>
    </row>
    <row r="7" spans="1:8" ht="15.75">
      <c r="A7" s="119" t="s">
        <v>350</v>
      </c>
      <c r="B7" s="119"/>
      <c r="C7" s="119"/>
      <c r="D7" s="119"/>
      <c r="E7" s="119"/>
      <c r="F7" s="119"/>
      <c r="G7" s="119"/>
      <c r="H7" s="119"/>
    </row>
    <row r="8" spans="1:8" ht="15.75">
      <c r="A8" s="119"/>
      <c r="B8" s="119"/>
      <c r="C8" s="119"/>
      <c r="D8" s="119"/>
      <c r="E8" s="119"/>
      <c r="F8" s="119"/>
      <c r="G8" s="119"/>
      <c r="H8" s="119"/>
    </row>
    <row r="9" spans="1:8" ht="12.75">
      <c r="A9" s="4"/>
      <c r="B9" s="5"/>
      <c r="C9" s="5"/>
      <c r="D9" s="5"/>
      <c r="E9" s="2"/>
      <c r="F9" s="4"/>
      <c r="G9" s="6"/>
      <c r="H9" s="2"/>
    </row>
    <row r="10" spans="1:10" s="25" customFormat="1" ht="127.5">
      <c r="A10" s="24" t="s">
        <v>0</v>
      </c>
      <c r="B10" s="24" t="s">
        <v>7</v>
      </c>
      <c r="C10" s="24" t="s">
        <v>25</v>
      </c>
      <c r="D10" s="24" t="s">
        <v>26</v>
      </c>
      <c r="E10" s="24" t="s">
        <v>14</v>
      </c>
      <c r="F10" s="24" t="s">
        <v>13</v>
      </c>
      <c r="G10" s="22" t="s">
        <v>27</v>
      </c>
      <c r="H10" s="24" t="s">
        <v>9</v>
      </c>
      <c r="I10" s="70" t="s">
        <v>229</v>
      </c>
      <c r="J10" s="70" t="s">
        <v>38</v>
      </c>
    </row>
    <row r="11" spans="1:8" ht="12.75">
      <c r="A11" s="11">
        <v>1</v>
      </c>
      <c r="B11" s="11">
        <v>2</v>
      </c>
      <c r="C11" s="11">
        <v>3</v>
      </c>
      <c r="D11" s="11">
        <v>4</v>
      </c>
      <c r="E11" s="8">
        <v>5</v>
      </c>
      <c r="F11" s="11">
        <v>6</v>
      </c>
      <c r="G11" s="11">
        <v>7</v>
      </c>
      <c r="H11" s="8">
        <v>8</v>
      </c>
    </row>
    <row r="12" spans="1:10" ht="134.25" customHeight="1">
      <c r="A12" s="13" t="s">
        <v>12</v>
      </c>
      <c r="B12" s="120"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20"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20"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78" t="s">
        <v>21</v>
      </c>
      <c r="F12" s="30" t="str">
        <f>'[1]июнь'!$F$12</f>
        <v>987 шт</v>
      </c>
      <c r="G12" s="21">
        <f>SUM(I12:J12)</f>
        <v>433043</v>
      </c>
      <c r="H12" s="21" t="s">
        <v>275</v>
      </c>
      <c r="I12" s="70"/>
      <c r="J12" s="70">
        <v>433043</v>
      </c>
    </row>
    <row r="13" spans="1:10" ht="134.25" customHeight="1">
      <c r="A13" s="13" t="s">
        <v>28</v>
      </c>
      <c r="B13" s="123"/>
      <c r="C13" s="123"/>
      <c r="D13" s="123"/>
      <c r="E13" s="78" t="s">
        <v>23</v>
      </c>
      <c r="F13" s="30">
        <v>0</v>
      </c>
      <c r="G13" s="21">
        <f aca="true" t="shared" si="0" ref="G13:G19">SUM(I13:J13)</f>
        <v>0</v>
      </c>
      <c r="H13" s="21">
        <v>0</v>
      </c>
      <c r="I13" s="70"/>
      <c r="J13" s="70"/>
    </row>
    <row r="14" spans="1:10" ht="134.25" customHeight="1">
      <c r="A14" s="13" t="s">
        <v>29</v>
      </c>
      <c r="B14" s="123"/>
      <c r="C14" s="123"/>
      <c r="D14" s="123"/>
      <c r="E14" s="78" t="s">
        <v>24</v>
      </c>
      <c r="F14" s="30" t="s">
        <v>374</v>
      </c>
      <c r="G14" s="21">
        <f t="shared" si="0"/>
        <v>1011813</v>
      </c>
      <c r="H14" s="30" t="s">
        <v>370</v>
      </c>
      <c r="I14" s="70"/>
      <c r="J14" s="70">
        <v>1011813</v>
      </c>
    </row>
    <row r="15" spans="1:10" ht="134.25" customHeight="1">
      <c r="A15" s="13" t="s">
        <v>30</v>
      </c>
      <c r="B15" s="123"/>
      <c r="C15" s="123"/>
      <c r="D15" s="123"/>
      <c r="E15" s="78" t="s">
        <v>22</v>
      </c>
      <c r="F15" s="30" t="str">
        <f>'[1]июнь'!$F$15</f>
        <v>3 373 шт</v>
      </c>
      <c r="G15" s="21">
        <f t="shared" si="0"/>
        <v>114496</v>
      </c>
      <c r="H15" s="21" t="s">
        <v>275</v>
      </c>
      <c r="I15" s="70"/>
      <c r="J15" s="70">
        <v>114496</v>
      </c>
    </row>
    <row r="16" spans="1:10" ht="134.25" customHeight="1">
      <c r="A16" s="13" t="s">
        <v>31</v>
      </c>
      <c r="B16" s="123"/>
      <c r="C16" s="123"/>
      <c r="D16" s="123"/>
      <c r="E16" s="78" t="s">
        <v>20</v>
      </c>
      <c r="F16" s="30" t="str">
        <f>'[1]июнь'!$F$16</f>
        <v>82 шт</v>
      </c>
      <c r="G16" s="21">
        <f t="shared" si="0"/>
        <v>98090</v>
      </c>
      <c r="H16" s="21" t="s">
        <v>275</v>
      </c>
      <c r="I16" s="70"/>
      <c r="J16" s="70">
        <v>98090</v>
      </c>
    </row>
    <row r="17" spans="1:10" ht="134.25" customHeight="1">
      <c r="A17" s="13" t="s">
        <v>32</v>
      </c>
      <c r="B17" s="123"/>
      <c r="C17" s="123"/>
      <c r="D17" s="123"/>
      <c r="E17" s="78" t="s">
        <v>19</v>
      </c>
      <c r="F17" s="30" t="s">
        <v>360</v>
      </c>
      <c r="G17" s="21">
        <f t="shared" si="0"/>
        <v>9263385.6</v>
      </c>
      <c r="H17" s="21" t="s">
        <v>11</v>
      </c>
      <c r="I17" s="70">
        <f>сводка!H91+сводка!H92</f>
        <v>9263385.6</v>
      </c>
      <c r="J17" s="70"/>
    </row>
    <row r="18" spans="1:10" ht="134.25" customHeight="1">
      <c r="A18" s="13" t="s">
        <v>34</v>
      </c>
      <c r="B18" s="123"/>
      <c r="C18" s="123"/>
      <c r="D18" s="123"/>
      <c r="E18" s="78" t="s">
        <v>33</v>
      </c>
      <c r="F18" s="30" t="s">
        <v>375</v>
      </c>
      <c r="G18" s="21">
        <f t="shared" si="0"/>
        <v>6724692.740999998</v>
      </c>
      <c r="H18" s="21" t="s">
        <v>368</v>
      </c>
      <c r="I18" s="70">
        <f>сводка!H80</f>
        <v>6708252.740999998</v>
      </c>
      <c r="J18" s="70">
        <v>16440</v>
      </c>
    </row>
    <row r="19" spans="1:10" ht="127.5" customHeight="1">
      <c r="A19" s="13" t="s">
        <v>36</v>
      </c>
      <c r="B19" s="124"/>
      <c r="C19" s="124"/>
      <c r="D19" s="124"/>
      <c r="E19" s="78" t="s">
        <v>35</v>
      </c>
      <c r="F19" s="30">
        <v>0</v>
      </c>
      <c r="G19" s="21">
        <f t="shared" si="0"/>
        <v>0</v>
      </c>
      <c r="H19" s="21">
        <v>0</v>
      </c>
      <c r="I19" s="70"/>
      <c r="J19" s="70"/>
    </row>
    <row r="20" spans="1:10" ht="12.75">
      <c r="A20" s="4"/>
      <c r="B20" s="5"/>
      <c r="C20" s="5"/>
      <c r="D20" s="5"/>
      <c r="E20" s="2"/>
      <c r="F20" s="4"/>
      <c r="G20" s="23">
        <f>SUM(G12:G19)</f>
        <v>17645520.341</v>
      </c>
      <c r="H20" s="2"/>
      <c r="I20" s="70">
        <f>SUM(I12:I19)</f>
        <v>15971638.340999998</v>
      </c>
      <c r="J20" s="70">
        <f>SUM(J12:J19)</f>
        <v>1673882</v>
      </c>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23"/>
  <sheetViews>
    <sheetView zoomScalePageLayoutView="0" workbookViewId="0" topLeftCell="A16">
      <selection activeCell="A7" sqref="A7:H7"/>
    </sheetView>
  </sheetViews>
  <sheetFormatPr defaultColWidth="9.00390625" defaultRowHeight="12.75"/>
  <cols>
    <col min="1" max="1" width="8.25390625" style="0" customWidth="1"/>
    <col min="2" max="2" width="55.375" style="0" customWidth="1"/>
    <col min="3" max="4" width="35.25390625" style="0" customWidth="1"/>
    <col min="5" max="5" width="31.00390625" style="0" customWidth="1"/>
    <col min="6" max="7" width="21.625" style="0" customWidth="1"/>
    <col min="8" max="8" width="21.625" style="113" customWidth="1"/>
    <col min="9" max="9" width="23.125" style="0" customWidth="1"/>
    <col min="10" max="10" width="24.75390625" style="0" customWidth="1"/>
  </cols>
  <sheetData>
    <row r="1" spans="1:8" ht="12.75">
      <c r="A1" s="4"/>
      <c r="B1" s="5"/>
      <c r="C1" s="5"/>
      <c r="D1" s="5"/>
      <c r="E1" s="2"/>
      <c r="F1" s="4"/>
      <c r="G1" s="6"/>
      <c r="H1" s="112" t="s">
        <v>3</v>
      </c>
    </row>
    <row r="2" spans="1:8" ht="12.75">
      <c r="A2" s="4"/>
      <c r="B2" s="5"/>
      <c r="C2" s="5"/>
      <c r="D2" s="5"/>
      <c r="E2" s="2"/>
      <c r="F2" s="4"/>
      <c r="G2" s="6"/>
      <c r="H2" s="112" t="s">
        <v>1</v>
      </c>
    </row>
    <row r="3" spans="1:8" ht="12.75">
      <c r="A3" s="4"/>
      <c r="B3" s="5"/>
      <c r="C3" s="5"/>
      <c r="D3" s="5"/>
      <c r="E3" s="2"/>
      <c r="F3" s="4"/>
      <c r="G3" s="6"/>
      <c r="H3" s="112" t="s">
        <v>2</v>
      </c>
    </row>
    <row r="4" spans="1:8" ht="12.75">
      <c r="A4" s="4"/>
      <c r="B4" s="5"/>
      <c r="C4" s="5"/>
      <c r="D4" s="5"/>
      <c r="E4" s="2"/>
      <c r="F4" s="4"/>
      <c r="G4" s="6"/>
      <c r="H4" s="109"/>
    </row>
    <row r="5" spans="1:8" ht="12.75">
      <c r="A5" s="4"/>
      <c r="B5" s="5"/>
      <c r="C5" s="5"/>
      <c r="D5" s="5"/>
      <c r="E5" s="2"/>
      <c r="F5" s="4"/>
      <c r="G5" s="6"/>
      <c r="H5" s="109"/>
    </row>
    <row r="6" spans="1:8" ht="15.75">
      <c r="A6" s="119" t="s">
        <v>4</v>
      </c>
      <c r="B6" s="119"/>
      <c r="C6" s="119"/>
      <c r="D6" s="119"/>
      <c r="E6" s="119"/>
      <c r="F6" s="119"/>
      <c r="G6" s="119"/>
      <c r="H6" s="119"/>
    </row>
    <row r="7" spans="1:8" ht="15.75">
      <c r="A7" s="119" t="s">
        <v>351</v>
      </c>
      <c r="B7" s="119"/>
      <c r="C7" s="119"/>
      <c r="D7" s="119"/>
      <c r="E7" s="119"/>
      <c r="F7" s="119"/>
      <c r="G7" s="119"/>
      <c r="H7" s="119"/>
    </row>
    <row r="8" spans="1:8" ht="15.75">
      <c r="A8" s="119"/>
      <c r="B8" s="119"/>
      <c r="C8" s="119"/>
      <c r="D8" s="119"/>
      <c r="E8" s="119"/>
      <c r="F8" s="119"/>
      <c r="G8" s="119"/>
      <c r="H8" s="119"/>
    </row>
    <row r="9" spans="1:8" ht="12.75">
      <c r="A9" s="4"/>
      <c r="B9" s="5"/>
      <c r="C9" s="5"/>
      <c r="D9" s="5"/>
      <c r="E9" s="2"/>
      <c r="F9" s="4"/>
      <c r="G9" s="6"/>
      <c r="H9" s="109"/>
    </row>
    <row r="10" spans="1:8" s="25" customFormat="1" ht="127.5">
      <c r="A10" s="24" t="s">
        <v>0</v>
      </c>
      <c r="B10" s="24" t="s">
        <v>7</v>
      </c>
      <c r="C10" s="24" t="s">
        <v>25</v>
      </c>
      <c r="D10" s="24" t="s">
        <v>26</v>
      </c>
      <c r="E10" s="24" t="s">
        <v>14</v>
      </c>
      <c r="F10" s="24" t="s">
        <v>13</v>
      </c>
      <c r="G10" s="22" t="s">
        <v>27</v>
      </c>
      <c r="H10" s="104" t="s">
        <v>9</v>
      </c>
    </row>
    <row r="11" spans="1:8" ht="12.75">
      <c r="A11" s="11">
        <v>1</v>
      </c>
      <c r="B11" s="11">
        <v>2</v>
      </c>
      <c r="C11" s="11">
        <v>3</v>
      </c>
      <c r="D11" s="11">
        <v>4</v>
      </c>
      <c r="E11" s="8">
        <v>5</v>
      </c>
      <c r="F11" s="11">
        <v>6</v>
      </c>
      <c r="G11" s="11">
        <v>7</v>
      </c>
      <c r="H11" s="11">
        <v>8</v>
      </c>
    </row>
    <row r="12" spans="1:8" ht="117" customHeight="1">
      <c r="A12" s="13" t="s">
        <v>12</v>
      </c>
      <c r="B12" s="120"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20"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20"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78" t="s">
        <v>21</v>
      </c>
      <c r="F12" s="30" t="s">
        <v>380</v>
      </c>
      <c r="G12" s="21">
        <f>апрель!G12+май!G12+июнь!G12</f>
        <v>6700014.5</v>
      </c>
      <c r="H12" s="104" t="s">
        <v>368</v>
      </c>
    </row>
    <row r="13" spans="1:8" ht="117" customHeight="1">
      <c r="A13" s="13" t="s">
        <v>28</v>
      </c>
      <c r="B13" s="123"/>
      <c r="C13" s="123"/>
      <c r="D13" s="123"/>
      <c r="E13" s="78" t="s">
        <v>23</v>
      </c>
      <c r="F13" s="30" t="s">
        <v>347</v>
      </c>
      <c r="G13" s="21">
        <f>апрель!G13+май!G13+июнь!G13</f>
        <v>1065250.01</v>
      </c>
      <c r="H13" s="104" t="s">
        <v>18</v>
      </c>
    </row>
    <row r="14" spans="1:8" ht="117" customHeight="1">
      <c r="A14" s="13" t="s">
        <v>29</v>
      </c>
      <c r="B14" s="123"/>
      <c r="C14" s="123"/>
      <c r="D14" s="123"/>
      <c r="E14" s="78" t="s">
        <v>24</v>
      </c>
      <c r="F14" s="30" t="s">
        <v>376</v>
      </c>
      <c r="G14" s="21">
        <f>апрель!G14+май!G14+июнь!G14</f>
        <v>4155708</v>
      </c>
      <c r="H14" s="104" t="s">
        <v>363</v>
      </c>
    </row>
    <row r="15" spans="1:8" ht="117" customHeight="1">
      <c r="A15" s="13" t="s">
        <v>30</v>
      </c>
      <c r="B15" s="123"/>
      <c r="C15" s="123"/>
      <c r="D15" s="123"/>
      <c r="E15" s="78" t="s">
        <v>22</v>
      </c>
      <c r="F15" s="30" t="s">
        <v>377</v>
      </c>
      <c r="G15" s="21">
        <f>апрель!G15+май!G15+июнь!G15</f>
        <v>2808590</v>
      </c>
      <c r="H15" s="104" t="s">
        <v>363</v>
      </c>
    </row>
    <row r="16" spans="1:8" ht="117" customHeight="1">
      <c r="A16" s="13" t="s">
        <v>31</v>
      </c>
      <c r="B16" s="123"/>
      <c r="C16" s="123"/>
      <c r="D16" s="123"/>
      <c r="E16" s="78" t="s">
        <v>20</v>
      </c>
      <c r="F16" s="30" t="s">
        <v>378</v>
      </c>
      <c r="G16" s="21">
        <f>апрель!G16+май!G16+июнь!G16</f>
        <v>855887</v>
      </c>
      <c r="H16" s="104" t="s">
        <v>370</v>
      </c>
    </row>
    <row r="17" spans="1:8" ht="117" customHeight="1">
      <c r="A17" s="13" t="s">
        <v>32</v>
      </c>
      <c r="B17" s="123"/>
      <c r="C17" s="123"/>
      <c r="D17" s="123"/>
      <c r="E17" s="78" t="s">
        <v>19</v>
      </c>
      <c r="F17" s="30" t="s">
        <v>360</v>
      </c>
      <c r="G17" s="21">
        <f>апрель!G17+май!G17+июнь!G17</f>
        <v>9263385.6</v>
      </c>
      <c r="H17" s="104" t="s">
        <v>11</v>
      </c>
    </row>
    <row r="18" spans="1:8" ht="117" customHeight="1">
      <c r="A18" s="13" t="s">
        <v>34</v>
      </c>
      <c r="B18" s="123"/>
      <c r="C18" s="123"/>
      <c r="D18" s="123"/>
      <c r="E18" s="78" t="s">
        <v>33</v>
      </c>
      <c r="F18" s="30" t="s">
        <v>379</v>
      </c>
      <c r="G18" s="21">
        <f>апрель!G18+май!G18+июнь!G18</f>
        <v>18727046.040999997</v>
      </c>
      <c r="H18" s="104" t="s">
        <v>366</v>
      </c>
    </row>
    <row r="19" spans="1:8" ht="117" customHeight="1">
      <c r="A19" s="13" t="s">
        <v>36</v>
      </c>
      <c r="B19" s="124"/>
      <c r="C19" s="124"/>
      <c r="D19" s="124"/>
      <c r="E19" s="78" t="s">
        <v>35</v>
      </c>
      <c r="F19" s="30">
        <v>0</v>
      </c>
      <c r="G19" s="21">
        <f>апрель!G19+май!G19+июнь!G19</f>
        <v>0</v>
      </c>
      <c r="H19" s="104">
        <v>0</v>
      </c>
    </row>
    <row r="20" spans="1:8" ht="12.75">
      <c r="A20" s="4"/>
      <c r="B20" s="5"/>
      <c r="C20" s="5"/>
      <c r="D20" s="5"/>
      <c r="E20" s="2"/>
      <c r="F20" s="4"/>
      <c r="G20" s="23">
        <f>SUM(G12:G19)</f>
        <v>43575881.15099999</v>
      </c>
      <c r="H20" s="109"/>
    </row>
    <row r="22" ht="12.75">
      <c r="G22" s="34"/>
    </row>
    <row r="23" ht="12.75">
      <c r="G23" s="26"/>
    </row>
  </sheetData>
  <sheetProtection/>
  <mergeCells count="6">
    <mergeCell ref="A6:H6"/>
    <mergeCell ref="A7:H7"/>
    <mergeCell ref="A8:H8"/>
    <mergeCell ref="B12:B19"/>
    <mergeCell ref="C12:C19"/>
    <mergeCell ref="D12:D1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20"/>
  <sheetViews>
    <sheetView zoomScale="80" zoomScaleNormal="80" zoomScalePageLayoutView="0" workbookViewId="0" topLeftCell="A7">
      <selection activeCell="H12" sqref="H12:H19"/>
    </sheetView>
  </sheetViews>
  <sheetFormatPr defaultColWidth="9.00390625" defaultRowHeight="12.75" outlineLevelCol="1"/>
  <cols>
    <col min="1" max="1" width="8.25390625" style="0" customWidth="1"/>
    <col min="2" max="2" width="55.125" style="35" customWidth="1"/>
    <col min="3" max="4" width="36.125" style="35" customWidth="1"/>
    <col min="5" max="5" width="31.00390625" style="0" customWidth="1"/>
    <col min="6" max="8" width="21.625" style="33" customWidth="1"/>
    <col min="9" max="10" width="18.625" style="0" hidden="1" customWidth="1" outlineLevel="1"/>
    <col min="11" max="11" width="9.125" style="0" customWidth="1" collapsed="1"/>
  </cols>
  <sheetData>
    <row r="1" spans="1:8" ht="12.75">
      <c r="A1" s="4"/>
      <c r="B1" s="5"/>
      <c r="C1" s="5"/>
      <c r="D1" s="5"/>
      <c r="E1" s="2"/>
      <c r="F1" s="31"/>
      <c r="G1" s="87"/>
      <c r="H1" s="20" t="s">
        <v>3</v>
      </c>
    </row>
    <row r="2" spans="1:8" ht="12.75">
      <c r="A2" s="4"/>
      <c r="B2" s="5"/>
      <c r="C2" s="5"/>
      <c r="D2" s="5"/>
      <c r="E2" s="2"/>
      <c r="F2" s="31"/>
      <c r="G2" s="87"/>
      <c r="H2" s="20" t="s">
        <v>1</v>
      </c>
    </row>
    <row r="3" spans="1:8" ht="12.75">
      <c r="A3" s="4"/>
      <c r="B3" s="5"/>
      <c r="C3" s="5"/>
      <c r="D3" s="5"/>
      <c r="E3" s="2"/>
      <c r="F3" s="31"/>
      <c r="G3" s="87"/>
      <c r="H3" s="20" t="s">
        <v>2</v>
      </c>
    </row>
    <row r="4" spans="1:8" ht="12.75">
      <c r="A4" s="4"/>
      <c r="B4" s="5"/>
      <c r="C4" s="5"/>
      <c r="D4" s="5"/>
      <c r="E4" s="2"/>
      <c r="F4" s="31"/>
      <c r="G4" s="87"/>
      <c r="H4" s="2"/>
    </row>
    <row r="5" spans="1:8" ht="12.75">
      <c r="A5" s="4"/>
      <c r="B5" s="5"/>
      <c r="C5" s="5"/>
      <c r="D5" s="5"/>
      <c r="E5" s="2"/>
      <c r="F5" s="31"/>
      <c r="G5" s="87"/>
      <c r="H5" s="2"/>
    </row>
    <row r="6" spans="1:8" ht="15.75">
      <c r="A6" s="119" t="s">
        <v>4</v>
      </c>
      <c r="B6" s="119"/>
      <c r="C6" s="119"/>
      <c r="D6" s="119"/>
      <c r="E6" s="119"/>
      <c r="F6" s="119"/>
      <c r="G6" s="119"/>
      <c r="H6" s="119"/>
    </row>
    <row r="7" spans="1:8" ht="15.75">
      <c r="A7" s="119" t="s">
        <v>381</v>
      </c>
      <c r="B7" s="119"/>
      <c r="C7" s="119"/>
      <c r="D7" s="119"/>
      <c r="E7" s="119"/>
      <c r="F7" s="119"/>
      <c r="G7" s="119"/>
      <c r="H7" s="119"/>
    </row>
    <row r="8" spans="1:8" ht="15.75">
      <c r="A8" s="119"/>
      <c r="B8" s="119"/>
      <c r="C8" s="119"/>
      <c r="D8" s="119"/>
      <c r="E8" s="119"/>
      <c r="F8" s="119"/>
      <c r="G8" s="119"/>
      <c r="H8" s="119"/>
    </row>
    <row r="9" spans="1:8" ht="12.75">
      <c r="A9" s="4"/>
      <c r="B9" s="5"/>
      <c r="C9" s="5"/>
      <c r="D9" s="5"/>
      <c r="E9" s="2"/>
      <c r="F9" s="31"/>
      <c r="G9" s="87"/>
      <c r="H9" s="2"/>
    </row>
    <row r="10" spans="1:10" s="25" customFormat="1" ht="153.75" customHeight="1">
      <c r="A10" s="24" t="s">
        <v>0</v>
      </c>
      <c r="B10" s="24" t="s">
        <v>7</v>
      </c>
      <c r="C10" s="24" t="s">
        <v>25</v>
      </c>
      <c r="D10" s="24" t="s">
        <v>26</v>
      </c>
      <c r="E10" s="24" t="s">
        <v>14</v>
      </c>
      <c r="F10" s="24" t="s">
        <v>13</v>
      </c>
      <c r="G10" s="22" t="s">
        <v>27</v>
      </c>
      <c r="H10" s="24" t="s">
        <v>9</v>
      </c>
      <c r="I10" s="70" t="s">
        <v>229</v>
      </c>
      <c r="J10" s="70" t="s">
        <v>38</v>
      </c>
    </row>
    <row r="11" spans="1:8" ht="12.75">
      <c r="A11" s="11">
        <v>1</v>
      </c>
      <c r="B11" s="11">
        <v>2</v>
      </c>
      <c r="C11" s="11">
        <v>3</v>
      </c>
      <c r="D11" s="11">
        <v>4</v>
      </c>
      <c r="E11" s="8">
        <v>5</v>
      </c>
      <c r="F11" s="8">
        <v>6</v>
      </c>
      <c r="G11" s="8">
        <v>7</v>
      </c>
      <c r="H11" s="8">
        <v>8</v>
      </c>
    </row>
    <row r="12" spans="1:10" ht="117.75" customHeight="1">
      <c r="A12" s="13" t="s">
        <v>12</v>
      </c>
      <c r="B12" s="120" t="str">
        <f>январь!B12</f>
        <v>1) Газораспределительные сети г.Якутска и пригородов: Газораспределительные сети с. Марха, Газораспределительные сети с.Маган, Газораспределительные сети с.Жатай, Газораспределительные сети с.Кангалассы, Газораспределительные сети с.Капитоновка, Газораспределительные сети с.Тулагино, с.Сырдах, Газораспределительные сети с.Кильдямцы.
2) Газораспределительные сети с. Верхневилюйск, Газораспределительные сети с. Хомустах, Газораспределительные сети с. Оросу, Газораспределительные сети с. с.Тамалакан, Газораспределительные сети с. Кюль, Газораспределительные сети с. Харыялах;
3) Газораспределительные сети с. Майя, Газораспределительные сети с. Петровка, Газораспределительные сети  с. Чуйя;
4) Газораспределительные сети  с. Табага, Газораспределительные сети  с. Павловск, Газораспределительные сети  с. Хаптагай, Газораспределительные сети  п. Н-Бестях, Газораспределительные сети  с. Тюнгюлю, Газораспределительные сети  с. Тумул; 
5) Газораспределительные сети с. Мукучи, Газораспределительные сети с. Мастах, Газораспределительные сети с. Багадя, Газораспределительные сети с. Арылах;
6) Газораспределительные сети с. Намцы, Газораспределительные сети с. Хамагатта, Газораспределительные сети с. Партизан, Газораспределительные сети с. Кысыл-Сыр, Газораспределительные сети с. Аппаны, Газораспределительные сети с. Графский Берег, Газораспределительные сети с. Едейцы, Газораспределительные сети с. Искра, Газораспределительные сети с. Красная деревня, Газораспределительные сети с. Никольцы; 
7) Газораспределительные сети с. Бетюнцы, Газораспределительные сети с. Модутцы;
8) Газораспределительные сети с. Столбы, Газораспределительные сети с. Маймага, Газораспределительные сети с. Булуус;
9) Газораспределительные сети с. Ситте;
10) Газораспределительные сети с. Салбанцы;
11) Газораспределительные сети с. Тастах;
12) Газораспределительные сети с. Хатассы, Газораспределительные сети с. Владимировка, Газораспределительные сети с. Ст.Табага, Газораспределительные сети район ВШМ;
13) Газораспределительные сети г. Покровск, Газораспределительные сети п. Мохсоголлох, Газораспределительные сети п. В.Бестях, Газораспределительные сети с. Немюгюнцы;
14) Газораспределительные сети с. Октемцы, Газораспределительные сети с. Техтюр, Газораспределительные сети  с. Улах-Ан;
15) Газораспределительные сети с.Улахан-Ан;
16) Газораспределительные сети с. Булгунняхтах;
17) Газораспределительные сети  г. Вилюйск;
18) Газораспределительные сети п. Кысыл-Сыр;
19) Газораспределительные сети с. Сосновка,  Газораспределительные сети с. Чинеке;
20) Газораспределительные сети с. Екюндю;
21) Газораспределительные сети с. Бетюнг;
22) Газораспределительные сети с. Тасагар;
23) Газораспределительные сети с. Хампа;
24) Газораспределительные сети с. Тымпы; 
25) Газораспределительные сети с. Чай;
26) Газораспределительные сети с. Сыдыбыл; Газораспределительные сети с. Кеданда;
27) Газораспределительные сети с. Усун;
28) Газораспределительные сети с. Тербяс;
29) Газораспределительные сети с. Кюбяинде;
30) Газораспределительные сети с. Бясь-Кюель;
31) Газораспределительные сети с. Кюерелях;
32) Газораспределительные сети с. Кобяй;
33) Газораспределительные сети с. Аргас;
34) Газораспределительные сети с. Тыайа;
35) Газораспределительные сети с.Чагда;
36) Газораспределительные сети с. Арыктаах;
37) Газораспределительные сети с.Люксюгун;
38) Газораспределительные сети г. Ленск.</v>
      </c>
      <c r="C12" s="120" t="str">
        <f>январь!C12</f>
        <v>1) Выход из ГРС1, ГРС2 г.Якутска, и Пригороды;
2) АГРС с. Верхневилюйск, АГРС с. Хомустах, АГРС с. с.Тамалакан, АГРС с. Кюль, АГРС с. Верхневилюйск;
3) АГРС "Майя";
4) АГРС "Павловск","Хаптагай","Табага","Н-Бестях","Тюнгюлю";
5) АГРС с. Мукучи, ГРС с. Мастах, АГРС с. Арылах;
6) АГРС с. Намцы;
7) АГРС с. Бетюнцы;
8) АГРС с.Столбы;
9) АГРС с.Ситте;
10) АГРС с.Салбанцы;
11) АГРС с.Тастах;
12) АГРС "Хатассы";
13) АГРС "Покровск";
14) АГРС с.Октемцы;
15) АГРС с.Улахан-Ан;
16) АГРС с.Булгунняхтах;
17) АГРС Вилюйск;
18)АГРС Кысыл-Сыр;
19) АГРС Чинеке;
20) АГРС Екюндю;
21) АГРС Екюндю;
22) АГРС Тасагар;
23) АГРС Хампа;
24) АГРС Тымпы;
25) АГРС Чай;
26) АГРС Сыдыбыл;
27) АГРС Усун;
28) АГРС Тербяс;
29) АГРС Кюбяинде;
30) АГРС с.Бясь-Кюель;
31) АГРС с.Кюерелях;
32) АГРС с.Кобяй;
33) АГРС Берге;
34) АГРС с.Тыайа;
35) АГРС с.Чагда;
36) АГРС с.Арыктаах;
37) АГРС с.Люксюгун;
38) АГРС г. Ленск.</v>
      </c>
      <c r="D12" s="120" t="str">
        <f>январь!D12</f>
        <v>1) г.Якутск и пригород: с. Марха,  с.Маган,  с.Жатай,  с.Кангалассы,  с.Капитоновка,  с.Тулагино, с.Сырдах, с.Кильдямцы;
2) с. Верхневилюйск, с. Хомустах,  с. Оросу, с.Тамалакан, с. Кюль,  с. Харыялах;
3) с. Майя, с. Петровка, с. Чуйя;
4) с.Табага, с.Павловск, с.Хаптагай, п.Н-Бестях,  с.Тюнгюлю, с.Тумул;
5) с. Мукучи, с. Мастах, с. Багадя, с. Арылах;
6) с. Намцы, с. Хамагатта, с. Партизан, с. Кысыл-Сыр, с. Аппаны, с. Графский Берег, с. Едейцы, с. Искра, с. Красная деревня, с. Никольцы;
7) Бетюнцы,с. Модутцы;
8) с.Столбы, с. Маймага, с. Булуус;
9) с.Ситте;
10) с. Салбанцы;
11) с. Тастах;
12) с. Хатассы, с. Владимировка, с. Ст.Табага, Высшая школа музыки;
13) г. Покровск,  п. Мохсоголлох,  п. В.Бестях,  с. Немюгюнцы;
14) с. Октемцы, с. Техтюр, с. Улах-Ан;
15) с.Улахан-Ан;
16) с. Булгунняхтах;
17) г. Вилюйск;
18) п. Кысыл-Сыр;
19) с. Сосновка, с. Чинеке;
20) с. Екюндю;
21) с. Бетюнг;
22) с. Тасагар;
23) с. Хампа;
24) с. Тымпы;
25) с. Чай;
26) с. Сыдыбыл; с. Кеданда;
27) с. Усун;
28) с. Тербяс;
29) с. Кюбяинде;
30) с. Бясь-Кюель;
31) с. Кюерелях;
32) с. Кобяй;
33) с. Аргас;
34) с. Тыайа;
35) с .Чагда;
36) с Арыктаах;
37) с Люксюгун;
38) г.Ленск</v>
      </c>
      <c r="E12" s="19" t="s">
        <v>21</v>
      </c>
      <c r="F12" s="30" t="s">
        <v>432</v>
      </c>
      <c r="G12" s="30">
        <f>SUM(I12:J12)</f>
        <v>885936.25</v>
      </c>
      <c r="H12" s="30" t="s">
        <v>231</v>
      </c>
      <c r="I12" s="70"/>
      <c r="J12" s="70">
        <v>885936.25</v>
      </c>
    </row>
    <row r="13" spans="1:10" ht="117.75" customHeight="1">
      <c r="A13" s="13" t="s">
        <v>28</v>
      </c>
      <c r="B13" s="123"/>
      <c r="C13" s="123"/>
      <c r="D13" s="123"/>
      <c r="E13" s="3" t="s">
        <v>23</v>
      </c>
      <c r="F13" s="116" t="s">
        <v>433</v>
      </c>
      <c r="G13" s="30">
        <f aca="true" t="shared" si="0" ref="G13:G19">SUM(I13:J13)</f>
        <v>12982</v>
      </c>
      <c r="H13" s="30" t="s">
        <v>231</v>
      </c>
      <c r="I13" s="70"/>
      <c r="J13" s="70">
        <v>12982</v>
      </c>
    </row>
    <row r="14" spans="1:10" ht="117.75" customHeight="1">
      <c r="A14" s="13" t="s">
        <v>29</v>
      </c>
      <c r="B14" s="123"/>
      <c r="C14" s="123"/>
      <c r="D14" s="123"/>
      <c r="E14" s="19" t="s">
        <v>24</v>
      </c>
      <c r="F14" s="30" t="s">
        <v>206</v>
      </c>
      <c r="G14" s="30">
        <f t="shared" si="0"/>
        <v>4896945.68</v>
      </c>
      <c r="H14" s="30" t="s">
        <v>241</v>
      </c>
      <c r="I14" s="70">
        <f>сводка!H100+сводка!H101</f>
        <v>4581000</v>
      </c>
      <c r="J14" s="70">
        <v>315945.68</v>
      </c>
    </row>
    <row r="15" spans="1:10" ht="117.75" customHeight="1">
      <c r="A15" s="13" t="s">
        <v>30</v>
      </c>
      <c r="B15" s="123"/>
      <c r="C15" s="123"/>
      <c r="D15" s="123"/>
      <c r="E15" s="1" t="s">
        <v>22</v>
      </c>
      <c r="F15" s="30" t="s">
        <v>434</v>
      </c>
      <c r="G15" s="30">
        <f t="shared" si="0"/>
        <v>1449962.32</v>
      </c>
      <c r="H15" s="30" t="s">
        <v>231</v>
      </c>
      <c r="I15" s="70"/>
      <c r="J15" s="70">
        <v>1449962.32</v>
      </c>
    </row>
    <row r="16" spans="1:10" ht="117.75" customHeight="1">
      <c r="A16" s="13" t="s">
        <v>31</v>
      </c>
      <c r="B16" s="123"/>
      <c r="C16" s="123"/>
      <c r="D16" s="123"/>
      <c r="E16" s="1" t="s">
        <v>20</v>
      </c>
      <c r="F16" s="30" t="s">
        <v>435</v>
      </c>
      <c r="G16" s="30">
        <f t="shared" si="0"/>
        <v>123437</v>
      </c>
      <c r="H16" s="30" t="s">
        <v>231</v>
      </c>
      <c r="I16" s="70"/>
      <c r="J16" s="70">
        <v>123437</v>
      </c>
    </row>
    <row r="17" spans="1:10" ht="117.75" customHeight="1">
      <c r="A17" s="13" t="s">
        <v>32</v>
      </c>
      <c r="B17" s="123"/>
      <c r="C17" s="123"/>
      <c r="D17" s="123"/>
      <c r="E17" s="1" t="s">
        <v>19</v>
      </c>
      <c r="F17" s="30">
        <v>0</v>
      </c>
      <c r="G17" s="30">
        <f t="shared" si="0"/>
        <v>0</v>
      </c>
      <c r="H17" s="30">
        <f>сводка!I29</f>
        <v>0</v>
      </c>
      <c r="I17" s="70"/>
      <c r="J17" s="70"/>
    </row>
    <row r="18" spans="1:10" ht="117.75" customHeight="1">
      <c r="A18" s="13" t="s">
        <v>34</v>
      </c>
      <c r="B18" s="123"/>
      <c r="C18" s="123"/>
      <c r="D18" s="123"/>
      <c r="E18" s="19" t="s">
        <v>33</v>
      </c>
      <c r="F18" s="30" t="s">
        <v>436</v>
      </c>
      <c r="G18" s="30">
        <f t="shared" si="0"/>
        <v>961023.4</v>
      </c>
      <c r="H18" s="30" t="s">
        <v>231</v>
      </c>
      <c r="I18" s="70"/>
      <c r="J18" s="70">
        <v>961023.4</v>
      </c>
    </row>
    <row r="19" spans="1:10" ht="117.75" customHeight="1">
      <c r="A19" s="13" t="s">
        <v>36</v>
      </c>
      <c r="B19" s="124"/>
      <c r="C19" s="124"/>
      <c r="D19" s="124"/>
      <c r="E19" s="1" t="s">
        <v>35</v>
      </c>
      <c r="F19" s="30">
        <v>0</v>
      </c>
      <c r="G19" s="30">
        <f t="shared" si="0"/>
        <v>0</v>
      </c>
      <c r="H19" s="30">
        <v>0</v>
      </c>
      <c r="I19" s="70"/>
      <c r="J19" s="70"/>
    </row>
    <row r="20" spans="1:10" ht="12.75">
      <c r="A20" s="4"/>
      <c r="B20" s="5"/>
      <c r="C20" s="5"/>
      <c r="D20" s="5"/>
      <c r="E20" s="2"/>
      <c r="F20" s="31"/>
      <c r="G20" s="117">
        <f>SUM(G12:G19)</f>
        <v>8330286.65</v>
      </c>
      <c r="H20" s="2"/>
      <c r="I20" s="70">
        <f>SUM(I12:I19)</f>
        <v>4581000</v>
      </c>
      <c r="J20" s="70">
        <f>SUM(J12:J19)</f>
        <v>3749286.65</v>
      </c>
    </row>
  </sheetData>
  <sheetProtection/>
  <mergeCells count="6">
    <mergeCell ref="A6:H6"/>
    <mergeCell ref="A7:H7"/>
    <mergeCell ref="A8:H8"/>
    <mergeCell ref="B12:B19"/>
    <mergeCell ref="C12:C19"/>
    <mergeCell ref="D12:D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Шамаева Ирина Олеговна</cp:lastModifiedBy>
  <cp:lastPrinted>2017-04-25T00:14:36Z</cp:lastPrinted>
  <dcterms:created xsi:type="dcterms:W3CDTF">2012-02-10T12:30:27Z</dcterms:created>
  <dcterms:modified xsi:type="dcterms:W3CDTF">2017-10-26T03:08:47Z</dcterms:modified>
  <cp:category/>
  <cp:version/>
  <cp:contentType/>
  <cp:contentStatus/>
</cp:coreProperties>
</file>