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юль 2018" sheetId="1" r:id="rId1"/>
    <sheet name="август 2018" sheetId="2" r:id="rId2"/>
    <sheet name="сентябрь 2018" sheetId="3" r:id="rId3"/>
    <sheet name="3 квартал" sheetId="4" r:id="rId4"/>
  </sheets>
  <definedNames/>
  <calcPr fullCalcOnLoad="1"/>
</workbook>
</file>

<file path=xl/sharedStrings.xml><?xml version="1.0" encoding="utf-8"?>
<sst xmlns="http://schemas.openxmlformats.org/spreadsheetml/2006/main" count="744" uniqueCount="190">
  <si>
    <t>ЛПУМГ, УДиТГ</t>
  </si>
  <si>
    <t>Наименование ГРС (АГРС)</t>
  </si>
  <si>
    <t>№ п/п</t>
  </si>
  <si>
    <t>УГРС</t>
  </si>
  <si>
    <t>Фактическое потребление (ЮЛ+ФЛ), тыс. м3</t>
  </si>
  <si>
    <t>Возможное потребление по выданным, но не подключенным ТУ, тыс. м3</t>
  </si>
  <si>
    <t>1</t>
  </si>
  <si>
    <t>ГРС-1</t>
  </si>
  <si>
    <t>Населенный пункт</t>
  </si>
  <si>
    <t>с. Майя, с. Петровка, с. Чуя</t>
  </si>
  <si>
    <t>2</t>
  </si>
  <si>
    <t>АГРС с. Майя</t>
  </si>
  <si>
    <t>с. Хомустах, с. Аппаны, с. Графский берег, с. Едейцы, с. Красная деревня, с. Намцы, с. Никольцы, с. Партизан, с. Хамагатта</t>
  </si>
  <si>
    <t>3</t>
  </si>
  <si>
    <t>АГРС с. Намцы</t>
  </si>
  <si>
    <t>Максимально возможное потребление, тыс. м3</t>
  </si>
  <si>
    <t>АГРС п. Нижний Бестях</t>
  </si>
  <si>
    <t>4</t>
  </si>
  <si>
    <t>п. Нижний Бестях</t>
  </si>
  <si>
    <t>г. Якутск, п. Марха, п. Жатай, с. Тулагино, с. Кильдямцы, с. Сырдах, с. Капитоновка, п. Кангалассы</t>
  </si>
  <si>
    <t>п. Мохсоголлох, г. Покровск, с. Верхний Бестях, с. Леглегер, с. Звероферма, с. Немюгюнцы</t>
  </si>
  <si>
    <t>5</t>
  </si>
  <si>
    <t>п. Табага, п. Хатассы, с. Владимировка, Покровский тр.16 км</t>
  </si>
  <si>
    <t>6</t>
  </si>
  <si>
    <t>АГРС Хатассы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</si>
  <si>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</si>
  <si>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</si>
  <si>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</si>
  <si>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</si>
  <si>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</si>
  <si>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</si>
  <si>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</si>
  <si>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</si>
  <si>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</si>
  <si>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</si>
  <si>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</si>
  <si>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</si>
  <si>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</si>
  <si>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</si>
  <si>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</si>
  <si>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</si>
  <si>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</si>
  <si>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</si>
  <si>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</si>
  <si>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</si>
  <si>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</si>
  <si>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с. Бэс-Кюель</t>
  </si>
  <si>
    <t>АГРС Бэс-Кюель</t>
  </si>
  <si>
    <t>с. Арылах, с. Багадя</t>
  </si>
  <si>
    <t>АГРС Арылах</t>
  </si>
  <si>
    <t>с. Мастах</t>
  </si>
  <si>
    <t>АГРС Мастах</t>
  </si>
  <si>
    <t>АГРС Табага</t>
  </si>
  <si>
    <t>с. Мукучи</t>
  </si>
  <si>
    <t>АГРС Мукучи</t>
  </si>
  <si>
    <t>с. Тамалакан, с. Оросу</t>
  </si>
  <si>
    <t>АГРС Тамалакан</t>
  </si>
  <si>
    <t>АГРС Тылгыны (Тиэрбэс)</t>
  </si>
  <si>
    <t>с. Тылгыны (Тиэрбэс)</t>
  </si>
  <si>
    <t>с. Сыдыбыл, с. Кеданда</t>
  </si>
  <si>
    <t>АГРС Сыдыбыл</t>
  </si>
  <si>
    <t>с. Хампа</t>
  </si>
  <si>
    <t>АГРС Хампа</t>
  </si>
  <si>
    <t>с. Екюндю, с. Бетюнцы</t>
  </si>
  <si>
    <t>АГРС Екюндю</t>
  </si>
  <si>
    <t>г. Вилюйск</t>
  </si>
  <si>
    <t>ГРС Вилюйск</t>
  </si>
  <si>
    <t>с. Кобяй, с. Ворошилов</t>
  </si>
  <si>
    <t>АГРС Кобяй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</si>
  <si>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</si>
  <si>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</si>
  <si>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</si>
  <si>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</si>
  <si>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</si>
  <si>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</si>
  <si>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</si>
  <si>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</si>
  <si>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</si>
  <si>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</si>
  <si>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</si>
  <si>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</si>
  <si>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</si>
  <si>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</si>
  <si>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с. Тасагар</t>
  </si>
  <si>
    <t>АГРС Тасагар</t>
  </si>
  <si>
    <t>с. Кюбяинде</t>
  </si>
  <si>
    <t>АГРС Кюбяинде</t>
  </si>
  <si>
    <t>с. Хомустах</t>
  </si>
  <si>
    <t>АГРС Хомустах</t>
  </si>
  <si>
    <t>с. Верхневилюйск, с. Андреевское, с. Харыйалах</t>
  </si>
  <si>
    <t>АГРС Верхневилюйск</t>
  </si>
  <si>
    <t>с. Чинеке, с. Сосновка</t>
  </si>
  <si>
    <t>АГРС Чинеке</t>
  </si>
  <si>
    <t>с. Булгунняхтах</t>
  </si>
  <si>
    <t>АГРС Булгунняхтах</t>
  </si>
  <si>
    <t>п. Кысыл-Сыр</t>
  </si>
  <si>
    <t>АГРС Кысыл-Сыр</t>
  </si>
  <si>
    <t>с. Чурапча</t>
  </si>
  <si>
    <t>АГРС Чурапча</t>
  </si>
  <si>
    <t>42</t>
  </si>
  <si>
    <t>п. Маган</t>
  </si>
  <si>
    <t>АГРС Маган</t>
  </si>
  <si>
    <t>с. Чай</t>
  </si>
  <si>
    <t>АГРС Берго</t>
  </si>
  <si>
    <t>с. Павловск</t>
  </si>
  <si>
    <t>АГРС Павловск</t>
  </si>
  <si>
    <t>с. Октемцы, с. С. Техтюр, с. Чапаево, с. Улах-Ан</t>
  </si>
  <si>
    <t>АГРС Октемцы</t>
  </si>
  <si>
    <t>АГРС Хатырык</t>
  </si>
  <si>
    <t>с. Хатырык, с. Маймага, с. Тюбятцы</t>
  </si>
  <si>
    <t>с. Кюерелях</t>
  </si>
  <si>
    <t>АГРС Кюерелях</t>
  </si>
  <si>
    <t>с. Искра</t>
  </si>
  <si>
    <t>АГРС Искра</t>
  </si>
  <si>
    <t>АГРС Бетюнцы</t>
  </si>
  <si>
    <t>с. Бетюнцы, с. Модутцы</t>
  </si>
  <si>
    <t>с. Усун (Кулятцы)</t>
  </si>
  <si>
    <t>АГРС Усун</t>
  </si>
  <si>
    <t>с. Кюль (Харбалах)</t>
  </si>
  <si>
    <t>АГРС Кюль</t>
  </si>
  <si>
    <t>с. Тымпы</t>
  </si>
  <si>
    <t>АГРС Тымпы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</si>
  <si>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</si>
  <si>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</si>
  <si>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</si>
  <si>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</si>
  <si>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</si>
  <si>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</si>
  <si>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</si>
  <si>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</si>
  <si>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</si>
  <si>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с. Люксюгун</t>
  </si>
  <si>
    <t>АГРС Люксюгун</t>
  </si>
  <si>
    <t>с. Чагда</t>
  </si>
  <si>
    <t>АГРС Чагда</t>
  </si>
  <si>
    <t>с. Хаптагай</t>
  </si>
  <si>
    <t>АГРС Хаптагай</t>
  </si>
  <si>
    <t>с. Суола</t>
  </si>
  <si>
    <t>АГРС Суола</t>
  </si>
  <si>
    <t>с. Улахан-Ан</t>
  </si>
  <si>
    <t>АГРС Улахан-Ан</t>
  </si>
  <si>
    <t>с. Салбанцы</t>
  </si>
  <si>
    <t>АГРС Салбанцы</t>
  </si>
  <si>
    <t>АГРС Арыктах</t>
  </si>
  <si>
    <t>с. Арыктах</t>
  </si>
  <si>
    <t>с. Табага (заречье)</t>
  </si>
  <si>
    <t>АГРС Тюнгюлю</t>
  </si>
  <si>
    <t>с. Тюнгюлю, с. Тарат, с. Тумул</t>
  </si>
  <si>
    <t>АГРС Беке</t>
  </si>
  <si>
    <t>с. Беке</t>
  </si>
  <si>
    <t>с. Аргас, с. Кальвица</t>
  </si>
  <si>
    <t>Итого:</t>
  </si>
  <si>
    <t>Приложение 1</t>
  </si>
  <si>
    <t>Пропускная способность ГРС (проектная),                        тыс. м3/час</t>
  </si>
  <si>
    <t>АГРС Ситте</t>
  </si>
  <si>
    <t>с. Ситте</t>
  </si>
  <si>
    <t>АГРС Таастах</t>
  </si>
  <si>
    <t>с. Таастах</t>
  </si>
  <si>
    <t>АГРС Тыайа</t>
  </si>
  <si>
    <t>с. Тыайа</t>
  </si>
  <si>
    <t>АГРС Чай (Борогонцы)</t>
  </si>
  <si>
    <t>ГРС Покровск</t>
  </si>
  <si>
    <t>Максимальный часовой расход в зимний период,           тыс. м3</t>
  </si>
  <si>
    <t>Свободная мощность газораспределительной станции,                        тыс. м3/час</t>
  </si>
  <si>
    <t>АГРС ОП Берго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</si>
  <si>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июль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</si>
  <si>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август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</si>
  <si>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сентябрь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</si>
  <si>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3 квартал 2018 года</t>
  </si>
  <si>
    <t>52</t>
  </si>
  <si>
    <t>АГРС г.Ленск</t>
  </si>
  <si>
    <t>г.Ленск</t>
  </si>
  <si>
    <t>АГРС Асыма</t>
  </si>
  <si>
    <t>с.Асыма</t>
  </si>
  <si>
    <t>53</t>
  </si>
  <si>
    <t>АГРС Бедиме</t>
  </si>
  <si>
    <t>с.Бедиме</t>
  </si>
  <si>
    <t>54</t>
  </si>
  <si>
    <t>ГРС-2</t>
  </si>
  <si>
    <t>В режиме ожидания</t>
  </si>
  <si>
    <t>с.Бедеме</t>
  </si>
  <si>
    <t>АГРС Бедеме</t>
  </si>
  <si>
    <t>АГРС с. Бютейдях</t>
  </si>
  <si>
    <t>АГРС с. Дябыла</t>
  </si>
  <si>
    <t>с. Бютейдях</t>
  </si>
  <si>
    <t>с. Дябыла</t>
  </si>
  <si>
    <t>55</t>
  </si>
  <si>
    <t>56</t>
  </si>
  <si>
    <t>нет потребителей</t>
  </si>
  <si>
    <t>Собственность АО "ЯТЭК"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</si>
</sst>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00"/>
    <numFmt numFmtId="176" formatCode="0.00000000"/>
    <numFmt numFmtId="177" formatCode="0.0000000"/>
    <numFmt numFmtId="178" formatCode="0.000000"/>
    <numFmt numFmtId="179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5" fontId="37" fillId="0" borderId="10" xfId="0" applyNumberFormat="1" applyFont="1" applyFill="1" applyBorder="1" applyAlignment="1">
      <alignment horizontal="center" vertical="center" wrapText="1"/>
    </xf>
    <xf numFmtId="175" fontId="37" fillId="0" borderId="10" xfId="0" applyNumberFormat="1" applyFont="1" applyFill="1" applyBorder="1" applyAlignment="1">
      <alignment horizontal="center" vertical="center"/>
    </xf>
    <xf numFmtId="175" fontId="3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6.140625" style="0" customWidth="1"/>
    <col min="2" max="2" width="19.8515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7" t="s">
        <v>152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7" t="s">
        <v>2</v>
      </c>
      <c r="B3" s="17" t="s">
        <v>1</v>
      </c>
      <c r="C3" s="17" t="s">
        <v>8</v>
      </c>
      <c r="D3" s="18" t="s">
        <v>0</v>
      </c>
      <c r="E3" s="19"/>
      <c r="F3" s="20"/>
      <c r="G3" s="27" t="s">
        <v>3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17"/>
      <c r="B4" s="17"/>
      <c r="C4" s="17"/>
      <c r="D4" s="8" t="s">
        <v>162</v>
      </c>
      <c r="E4" s="8" t="s">
        <v>153</v>
      </c>
      <c r="F4" s="8" t="s">
        <v>163</v>
      </c>
      <c r="G4" s="28" t="s">
        <v>4</v>
      </c>
      <c r="H4" s="28" t="s">
        <v>5</v>
      </c>
      <c r="I4" s="28" t="s">
        <v>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8" t="s">
        <v>7</v>
      </c>
      <c r="C5" s="8" t="s">
        <v>19</v>
      </c>
      <c r="D5" s="22">
        <v>198.91666666666666</v>
      </c>
      <c r="E5" s="25">
        <v>235</v>
      </c>
      <c r="F5" s="22">
        <f>E5-D5</f>
        <v>36.08333333333334</v>
      </c>
      <c r="G5" s="29">
        <v>36.08333333333334</v>
      </c>
      <c r="H5" s="29">
        <v>7469.014</v>
      </c>
      <c r="I5" s="29">
        <f>G5+H5</f>
        <v>7505.097333333333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10</v>
      </c>
      <c r="B6" s="10" t="s">
        <v>178</v>
      </c>
      <c r="C6" s="21" t="s">
        <v>179</v>
      </c>
      <c r="D6" s="24">
        <v>0</v>
      </c>
      <c r="E6" s="25">
        <v>120</v>
      </c>
      <c r="F6" s="22">
        <f aca="true" t="shared" si="0" ref="F6:F20">E6-D6</f>
        <v>120</v>
      </c>
      <c r="G6" s="29" t="s">
        <v>188</v>
      </c>
      <c r="H6" s="29"/>
      <c r="I6" s="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4" t="s">
        <v>13</v>
      </c>
      <c r="B7" s="8" t="s">
        <v>101</v>
      </c>
      <c r="C7" s="8" t="s">
        <v>100</v>
      </c>
      <c r="D7" s="22">
        <v>1.4504166666666667</v>
      </c>
      <c r="E7" s="25">
        <v>10</v>
      </c>
      <c r="F7" s="22">
        <f t="shared" si="0"/>
        <v>8.549583333333333</v>
      </c>
      <c r="G7" s="29">
        <v>8.549583333333333</v>
      </c>
      <c r="H7" s="29">
        <v>10.8</v>
      </c>
      <c r="I7" s="29">
        <f aca="true" t="shared" si="1" ref="I7:I60">G7+H7</f>
        <v>19.349583333333335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7.25">
      <c r="A8" s="4" t="s">
        <v>17</v>
      </c>
      <c r="B8" s="8" t="s">
        <v>24</v>
      </c>
      <c r="C8" s="8" t="s">
        <v>22</v>
      </c>
      <c r="D8" s="22">
        <v>5.890416666666667</v>
      </c>
      <c r="E8" s="25">
        <v>10</v>
      </c>
      <c r="F8" s="22">
        <f t="shared" si="0"/>
        <v>4.109583333333333</v>
      </c>
      <c r="G8" s="29">
        <v>4.109583333333333</v>
      </c>
      <c r="H8" s="29">
        <v>696.198</v>
      </c>
      <c r="I8" s="29">
        <f t="shared" si="1"/>
        <v>700.3075833333334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1.5">
      <c r="A9" s="4" t="s">
        <v>21</v>
      </c>
      <c r="B9" s="8" t="s">
        <v>11</v>
      </c>
      <c r="C9" s="8" t="s">
        <v>9</v>
      </c>
      <c r="D9" s="8">
        <v>5.66</v>
      </c>
      <c r="E9" s="8">
        <v>10</v>
      </c>
      <c r="F9" s="22">
        <f t="shared" si="0"/>
        <v>4.34</v>
      </c>
      <c r="G9" s="29">
        <v>206.836</v>
      </c>
      <c r="H9" s="29">
        <f>0.0255*744</f>
        <v>18.971999999999998</v>
      </c>
      <c r="I9" s="29">
        <f t="shared" si="1"/>
        <v>225.80800000000002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0" ht="15.75">
      <c r="A10" s="4" t="s">
        <v>23</v>
      </c>
      <c r="B10" s="5" t="s">
        <v>136</v>
      </c>
      <c r="C10" s="5" t="s">
        <v>135</v>
      </c>
      <c r="D10" s="5">
        <v>0.61</v>
      </c>
      <c r="E10" s="5">
        <v>2</v>
      </c>
      <c r="F10" s="22">
        <f t="shared" si="0"/>
        <v>1.3900000000000001</v>
      </c>
      <c r="G10" s="29">
        <v>24.053</v>
      </c>
      <c r="H10" s="30">
        <f>0.0045*744</f>
        <v>3.348</v>
      </c>
      <c r="I10" s="29">
        <f t="shared" si="1"/>
        <v>27.401</v>
      </c>
      <c r="J10" s="3"/>
    </row>
    <row r="11" spans="1:23" ht="31.5">
      <c r="A11" s="4" t="s">
        <v>25</v>
      </c>
      <c r="B11" s="8" t="s">
        <v>16</v>
      </c>
      <c r="C11" s="8" t="s">
        <v>18</v>
      </c>
      <c r="D11" s="8">
        <v>3.54</v>
      </c>
      <c r="E11" s="8">
        <v>5</v>
      </c>
      <c r="F11" s="23">
        <f t="shared" si="0"/>
        <v>1.46</v>
      </c>
      <c r="G11" s="29">
        <v>89.722</v>
      </c>
      <c r="H11" s="29">
        <f>0.0635*744</f>
        <v>47.244</v>
      </c>
      <c r="I11" s="29">
        <f t="shared" si="1"/>
        <v>136.966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0" ht="15.75">
      <c r="A12" s="4" t="s">
        <v>26</v>
      </c>
      <c r="B12" s="5" t="s">
        <v>138</v>
      </c>
      <c r="C12" s="5" t="s">
        <v>137</v>
      </c>
      <c r="D12" s="5">
        <v>0.17</v>
      </c>
      <c r="E12" s="5">
        <v>1</v>
      </c>
      <c r="F12" s="23">
        <f t="shared" si="0"/>
        <v>0.83</v>
      </c>
      <c r="G12" s="29">
        <v>0</v>
      </c>
      <c r="H12" s="30">
        <f>0.005*744</f>
        <v>3.72</v>
      </c>
      <c r="I12" s="29">
        <f t="shared" si="1"/>
        <v>3.72</v>
      </c>
      <c r="J12" s="3"/>
    </row>
    <row r="13" spans="1:23" ht="15.75">
      <c r="A13" s="4" t="s">
        <v>27</v>
      </c>
      <c r="B13" s="8" t="s">
        <v>105</v>
      </c>
      <c r="C13" s="8" t="s">
        <v>104</v>
      </c>
      <c r="D13" s="8">
        <v>1.44</v>
      </c>
      <c r="E13" s="8">
        <v>5</v>
      </c>
      <c r="F13" s="23">
        <f t="shared" si="0"/>
        <v>3.56</v>
      </c>
      <c r="G13" s="29">
        <v>44.286</v>
      </c>
      <c r="H13" s="29">
        <f>0.0135*744</f>
        <v>10.044</v>
      </c>
      <c r="I13" s="29">
        <f t="shared" si="1"/>
        <v>54.33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>
      <c r="A14" s="4" t="s">
        <v>28</v>
      </c>
      <c r="B14" s="8" t="s">
        <v>52</v>
      </c>
      <c r="C14" s="8" t="s">
        <v>145</v>
      </c>
      <c r="D14" s="8">
        <v>0.64</v>
      </c>
      <c r="E14" s="8">
        <v>2</v>
      </c>
      <c r="F14" s="23">
        <f t="shared" si="0"/>
        <v>1.3599999999999999</v>
      </c>
      <c r="G14" s="29">
        <v>23.472</v>
      </c>
      <c r="H14" s="29">
        <v>0</v>
      </c>
      <c r="I14" s="29">
        <f t="shared" si="1"/>
        <v>23.472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1.5">
      <c r="A15" s="4" t="s">
        <v>29</v>
      </c>
      <c r="B15" s="8" t="s">
        <v>146</v>
      </c>
      <c r="C15" s="8" t="s">
        <v>147</v>
      </c>
      <c r="D15" s="8">
        <v>1.24</v>
      </c>
      <c r="E15" s="8">
        <v>2.5</v>
      </c>
      <c r="F15" s="23">
        <f t="shared" si="0"/>
        <v>1.26</v>
      </c>
      <c r="G15" s="29">
        <v>41.568</v>
      </c>
      <c r="H15" s="29">
        <f>0.012*744</f>
        <v>8.928</v>
      </c>
      <c r="I15" s="29">
        <f t="shared" si="1"/>
        <v>50.495999999999995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30</v>
      </c>
      <c r="B16" s="8" t="s">
        <v>148</v>
      </c>
      <c r="C16" s="8" t="s">
        <v>149</v>
      </c>
      <c r="D16" s="8">
        <v>0.06</v>
      </c>
      <c r="E16" s="8">
        <v>1</v>
      </c>
      <c r="F16" s="23">
        <f t="shared" si="0"/>
        <v>0.94</v>
      </c>
      <c r="G16" s="29">
        <v>0.915</v>
      </c>
      <c r="H16" s="29">
        <v>0</v>
      </c>
      <c r="I16" s="29">
        <f t="shared" si="1"/>
        <v>0.915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31</v>
      </c>
      <c r="B17" s="9" t="s">
        <v>181</v>
      </c>
      <c r="C17" s="9" t="s">
        <v>180</v>
      </c>
      <c r="D17" s="23">
        <v>0.7</v>
      </c>
      <c r="E17" s="9">
        <v>1</v>
      </c>
      <c r="F17" s="23">
        <f t="shared" si="0"/>
        <v>0.30000000000000004</v>
      </c>
      <c r="G17" s="29">
        <v>0</v>
      </c>
      <c r="H17" s="29">
        <v>0</v>
      </c>
      <c r="I17" s="29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4" t="s">
        <v>32</v>
      </c>
      <c r="B18" s="8" t="s">
        <v>98</v>
      </c>
      <c r="C18" s="8" t="s">
        <v>97</v>
      </c>
      <c r="D18" s="8">
        <v>3.9</v>
      </c>
      <c r="E18" s="8">
        <v>20</v>
      </c>
      <c r="F18" s="23">
        <f t="shared" si="0"/>
        <v>16.1</v>
      </c>
      <c r="G18" s="29">
        <v>4.103</v>
      </c>
      <c r="H18" s="29">
        <f>0.104*744</f>
        <v>77.37599999999999</v>
      </c>
      <c r="I18" s="29">
        <f t="shared" si="1"/>
        <v>81.47899999999998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>
      <c r="A19" s="4" t="s">
        <v>33</v>
      </c>
      <c r="B19" s="10" t="s">
        <v>182</v>
      </c>
      <c r="C19" s="10" t="s">
        <v>184</v>
      </c>
      <c r="D19" s="10">
        <v>0</v>
      </c>
      <c r="E19" s="10">
        <v>5</v>
      </c>
      <c r="F19" s="23">
        <f t="shared" si="0"/>
        <v>5</v>
      </c>
      <c r="G19" s="29" t="s">
        <v>188</v>
      </c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4" t="s">
        <v>34</v>
      </c>
      <c r="B20" s="10" t="s">
        <v>183</v>
      </c>
      <c r="C20" s="10" t="s">
        <v>185</v>
      </c>
      <c r="D20" s="10">
        <v>0.07</v>
      </c>
      <c r="E20" s="10">
        <v>1</v>
      </c>
      <c r="F20" s="22">
        <f t="shared" si="0"/>
        <v>0.9299999999999999</v>
      </c>
      <c r="G20" s="29" t="s">
        <v>188</v>
      </c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78.75">
      <c r="A21" s="4" t="s">
        <v>35</v>
      </c>
      <c r="B21" s="8" t="s">
        <v>161</v>
      </c>
      <c r="C21" s="8" t="s">
        <v>20</v>
      </c>
      <c r="D21" s="22">
        <v>22.846666666666668</v>
      </c>
      <c r="E21" s="24">
        <v>43</v>
      </c>
      <c r="F21" s="22">
        <f>E21-D21</f>
        <v>20.153333333333332</v>
      </c>
      <c r="G21" s="29">
        <v>7063.041</v>
      </c>
      <c r="H21" s="29">
        <v>7.2</v>
      </c>
      <c r="I21" s="29">
        <f t="shared" si="1"/>
        <v>7070.241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7.25">
      <c r="A22" s="4" t="s">
        <v>36</v>
      </c>
      <c r="B22" s="8" t="s">
        <v>107</v>
      </c>
      <c r="C22" s="8" t="s">
        <v>106</v>
      </c>
      <c r="D22" s="22">
        <v>2.607083333333333</v>
      </c>
      <c r="E22" s="24">
        <v>20</v>
      </c>
      <c r="F22" s="22">
        <f>E22-D22</f>
        <v>17.392916666666668</v>
      </c>
      <c r="G22" s="29">
        <v>85.094</v>
      </c>
      <c r="H22" s="29">
        <v>0</v>
      </c>
      <c r="I22" s="29">
        <f t="shared" si="1"/>
        <v>85.094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0" ht="15.75">
      <c r="A23" s="4" t="s">
        <v>37</v>
      </c>
      <c r="B23" s="5" t="s">
        <v>140</v>
      </c>
      <c r="C23" s="5" t="s">
        <v>139</v>
      </c>
      <c r="D23" s="26">
        <v>0.5629166666666666</v>
      </c>
      <c r="E23" s="5">
        <v>2</v>
      </c>
      <c r="F23" s="22">
        <f aca="true" t="shared" si="2" ref="F23:F61">E23-D23</f>
        <v>1.4370833333333333</v>
      </c>
      <c r="G23" s="29">
        <v>24.708</v>
      </c>
      <c r="H23" s="30">
        <v>0</v>
      </c>
      <c r="I23" s="29">
        <f t="shared" si="1"/>
        <v>24.708</v>
      </c>
      <c r="J23" s="3"/>
    </row>
    <row r="24" spans="1:23" ht="31.5">
      <c r="A24" s="4" t="s">
        <v>38</v>
      </c>
      <c r="B24" s="8" t="s">
        <v>94</v>
      </c>
      <c r="C24" s="5" t="s">
        <v>93</v>
      </c>
      <c r="D24" s="22">
        <v>0.8370833333333333</v>
      </c>
      <c r="E24" s="8">
        <v>2</v>
      </c>
      <c r="F24" s="22">
        <f t="shared" si="2"/>
        <v>1.1629166666666668</v>
      </c>
      <c r="G24" s="29">
        <v>51.622</v>
      </c>
      <c r="H24" s="29">
        <v>0</v>
      </c>
      <c r="I24" s="29">
        <f t="shared" si="1"/>
        <v>51.622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94.5">
      <c r="A25" s="4" t="s">
        <v>39</v>
      </c>
      <c r="B25" s="8" t="s">
        <v>14</v>
      </c>
      <c r="C25" s="8" t="s">
        <v>12</v>
      </c>
      <c r="D25" s="8">
        <v>11.26</v>
      </c>
      <c r="E25" s="8">
        <v>20</v>
      </c>
      <c r="F25" s="8">
        <f t="shared" si="2"/>
        <v>8.74</v>
      </c>
      <c r="G25" s="29">
        <v>333.289</v>
      </c>
      <c r="H25" s="29">
        <f>0.126*744</f>
        <v>93.744</v>
      </c>
      <c r="I25" s="29">
        <f t="shared" si="1"/>
        <v>427.033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1.5">
      <c r="A26" s="4" t="s">
        <v>40</v>
      </c>
      <c r="B26" s="8" t="s">
        <v>108</v>
      </c>
      <c r="C26" s="8" t="s">
        <v>109</v>
      </c>
      <c r="D26" s="23">
        <v>0.8</v>
      </c>
      <c r="E26" s="8">
        <v>2</v>
      </c>
      <c r="F26" s="10">
        <f t="shared" si="2"/>
        <v>1.2</v>
      </c>
      <c r="G26" s="29">
        <v>16.318</v>
      </c>
      <c r="H26" s="29">
        <f>0.01*744</f>
        <v>7.44</v>
      </c>
      <c r="I26" s="29">
        <f t="shared" si="1"/>
        <v>23.758000000000003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0" ht="15.75">
      <c r="A27" s="4" t="s">
        <v>41</v>
      </c>
      <c r="B27" s="5" t="s">
        <v>142</v>
      </c>
      <c r="C27" s="5" t="s">
        <v>141</v>
      </c>
      <c r="D27" s="5">
        <v>0.21</v>
      </c>
      <c r="E27" s="5">
        <v>1</v>
      </c>
      <c r="F27" s="10">
        <f t="shared" si="2"/>
        <v>0.79</v>
      </c>
      <c r="G27" s="29">
        <v>4.985</v>
      </c>
      <c r="H27" s="30">
        <v>0</v>
      </c>
      <c r="I27" s="29">
        <f t="shared" si="1"/>
        <v>4.985</v>
      </c>
      <c r="J27" s="3"/>
    </row>
    <row r="28" spans="1:10" ht="15.75">
      <c r="A28" s="4" t="s">
        <v>42</v>
      </c>
      <c r="B28" s="5" t="s">
        <v>113</v>
      </c>
      <c r="C28" s="5" t="s">
        <v>112</v>
      </c>
      <c r="D28" s="5">
        <v>0.13</v>
      </c>
      <c r="E28" s="5">
        <v>2</v>
      </c>
      <c r="F28" s="10">
        <f t="shared" si="2"/>
        <v>1.87</v>
      </c>
      <c r="G28" s="29">
        <v>-1.635</v>
      </c>
      <c r="H28" s="30">
        <f>0.002*744</f>
        <v>1.488</v>
      </c>
      <c r="I28" s="29">
        <f t="shared" si="1"/>
        <v>-0.14700000000000002</v>
      </c>
      <c r="J28" s="3"/>
    </row>
    <row r="29" spans="1:10" ht="15.75">
      <c r="A29" s="4" t="s">
        <v>43</v>
      </c>
      <c r="B29" s="5" t="s">
        <v>114</v>
      </c>
      <c r="C29" s="5" t="s">
        <v>115</v>
      </c>
      <c r="D29" s="5">
        <v>0.75</v>
      </c>
      <c r="E29" s="5">
        <v>2</v>
      </c>
      <c r="F29" s="10">
        <f t="shared" si="2"/>
        <v>1.25</v>
      </c>
      <c r="G29" s="29">
        <v>25.145</v>
      </c>
      <c r="H29" s="30">
        <f>0.026*744</f>
        <v>19.343999999999998</v>
      </c>
      <c r="I29" s="29">
        <f t="shared" si="1"/>
        <v>44.489</v>
      </c>
      <c r="J29" s="3"/>
    </row>
    <row r="30" spans="1:23" ht="15.75">
      <c r="A30" s="4" t="s">
        <v>44</v>
      </c>
      <c r="B30" s="8" t="s">
        <v>154</v>
      </c>
      <c r="C30" s="8" t="s">
        <v>155</v>
      </c>
      <c r="D30" s="8">
        <v>0.26</v>
      </c>
      <c r="E30" s="8">
        <v>2</v>
      </c>
      <c r="F30" s="10">
        <f t="shared" si="2"/>
        <v>1.74</v>
      </c>
      <c r="G30" s="29">
        <v>47.23</v>
      </c>
      <c r="H30" s="29">
        <f>0.005*744</f>
        <v>3.72</v>
      </c>
      <c r="I30" s="29">
        <f t="shared" si="1"/>
        <v>50.949999999999996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45</v>
      </c>
      <c r="B31" s="8" t="s">
        <v>156</v>
      </c>
      <c r="C31" s="8" t="s">
        <v>157</v>
      </c>
      <c r="D31" s="8">
        <v>0.17</v>
      </c>
      <c r="E31" s="8">
        <v>10</v>
      </c>
      <c r="F31" s="10">
        <f t="shared" si="2"/>
        <v>9.83</v>
      </c>
      <c r="G31" s="29">
        <v>4.983</v>
      </c>
      <c r="H31" s="29">
        <f>0.005*744</f>
        <v>3.72</v>
      </c>
      <c r="I31" s="29">
        <f t="shared" si="1"/>
        <v>8.703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69</v>
      </c>
      <c r="B32" s="9" t="s">
        <v>172</v>
      </c>
      <c r="C32" s="9" t="s">
        <v>173</v>
      </c>
      <c r="D32" s="23">
        <v>0.1</v>
      </c>
      <c r="E32" s="9">
        <v>1</v>
      </c>
      <c r="F32" s="10">
        <f t="shared" si="2"/>
        <v>0.9</v>
      </c>
      <c r="G32" s="29">
        <v>4.107</v>
      </c>
      <c r="H32" s="29">
        <v>0</v>
      </c>
      <c r="I32" s="29">
        <f t="shared" si="1"/>
        <v>4.107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4" t="s">
        <v>70</v>
      </c>
      <c r="B33" s="8" t="s">
        <v>47</v>
      </c>
      <c r="C33" s="8" t="s">
        <v>46</v>
      </c>
      <c r="D33" s="8">
        <v>0.37</v>
      </c>
      <c r="E33" s="8">
        <v>2</v>
      </c>
      <c r="F33" s="10">
        <f t="shared" si="2"/>
        <v>1.63</v>
      </c>
      <c r="G33" s="29">
        <v>14.031</v>
      </c>
      <c r="H33" s="29">
        <v>0</v>
      </c>
      <c r="I33" s="29">
        <f t="shared" si="1"/>
        <v>14.031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71</v>
      </c>
      <c r="B34" s="8" t="s">
        <v>111</v>
      </c>
      <c r="C34" s="8" t="s">
        <v>110</v>
      </c>
      <c r="D34" s="8">
        <v>0.28</v>
      </c>
      <c r="E34" s="8">
        <v>1</v>
      </c>
      <c r="F34" s="10">
        <f t="shared" si="2"/>
        <v>0.72</v>
      </c>
      <c r="G34" s="29">
        <v>4.122</v>
      </c>
      <c r="H34" s="29">
        <v>0</v>
      </c>
      <c r="I34" s="29">
        <f t="shared" si="1"/>
        <v>4.122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>
      <c r="A35" s="4" t="s">
        <v>72</v>
      </c>
      <c r="B35" s="8" t="s">
        <v>68</v>
      </c>
      <c r="C35" s="8" t="s">
        <v>67</v>
      </c>
      <c r="D35" s="8">
        <v>2.07</v>
      </c>
      <c r="E35" s="8">
        <v>5</v>
      </c>
      <c r="F35" s="10">
        <f t="shared" si="2"/>
        <v>2.93</v>
      </c>
      <c r="G35" s="29">
        <v>110.394</v>
      </c>
      <c r="H35" s="29">
        <f>0.01*744</f>
        <v>7.44</v>
      </c>
      <c r="I35" s="29">
        <f t="shared" si="1"/>
        <v>117.834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4" t="s">
        <v>73</v>
      </c>
      <c r="B36" s="8" t="s">
        <v>164</v>
      </c>
      <c r="C36" s="8" t="s">
        <v>150</v>
      </c>
      <c r="D36" s="8">
        <v>0.66</v>
      </c>
      <c r="E36" s="8">
        <v>10</v>
      </c>
      <c r="F36" s="10">
        <f t="shared" si="2"/>
        <v>9.34</v>
      </c>
      <c r="G36" s="29">
        <v>40.185</v>
      </c>
      <c r="H36" s="29">
        <f>0.005*744</f>
        <v>3.72</v>
      </c>
      <c r="I36" s="29">
        <f t="shared" si="1"/>
        <v>43.905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4" t="s">
        <v>74</v>
      </c>
      <c r="B37" s="8" t="s">
        <v>143</v>
      </c>
      <c r="C37" s="8" t="s">
        <v>144</v>
      </c>
      <c r="D37" s="8">
        <v>0.25</v>
      </c>
      <c r="E37" s="8">
        <v>1</v>
      </c>
      <c r="F37" s="10">
        <f t="shared" si="2"/>
        <v>0.75</v>
      </c>
      <c r="G37" s="29">
        <v>15.867</v>
      </c>
      <c r="H37" s="29">
        <v>0</v>
      </c>
      <c r="I37" s="29">
        <f t="shared" si="1"/>
        <v>15.867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75</v>
      </c>
      <c r="B38" s="8" t="s">
        <v>158</v>
      </c>
      <c r="C38" s="8" t="s">
        <v>159</v>
      </c>
      <c r="D38" s="8">
        <v>0.37</v>
      </c>
      <c r="E38" s="8">
        <v>1</v>
      </c>
      <c r="F38" s="10">
        <f t="shared" si="2"/>
        <v>0.63</v>
      </c>
      <c r="G38" s="29">
        <v>24.391</v>
      </c>
      <c r="H38" s="29">
        <v>0</v>
      </c>
      <c r="I38" s="29">
        <f t="shared" si="1"/>
        <v>24.391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10" ht="15.75">
      <c r="A39" s="4" t="s">
        <v>76</v>
      </c>
      <c r="B39" s="5" t="s">
        <v>132</v>
      </c>
      <c r="C39" s="5" t="s">
        <v>131</v>
      </c>
      <c r="D39" s="5">
        <v>0.2</v>
      </c>
      <c r="E39" s="5">
        <v>1</v>
      </c>
      <c r="F39" s="10">
        <f t="shared" si="2"/>
        <v>0.8</v>
      </c>
      <c r="G39" s="29">
        <v>10.566</v>
      </c>
      <c r="H39" s="30">
        <v>0</v>
      </c>
      <c r="I39" s="29">
        <f t="shared" si="1"/>
        <v>10.566</v>
      </c>
      <c r="J39" s="3"/>
    </row>
    <row r="40" spans="1:10" ht="15.75">
      <c r="A40" s="4" t="s">
        <v>77</v>
      </c>
      <c r="B40" s="5" t="s">
        <v>134</v>
      </c>
      <c r="C40" s="5" t="s">
        <v>133</v>
      </c>
      <c r="D40" s="5">
        <v>0.38</v>
      </c>
      <c r="E40" s="5">
        <v>1</v>
      </c>
      <c r="F40" s="10">
        <f t="shared" si="2"/>
        <v>0.62</v>
      </c>
      <c r="G40" s="29">
        <v>23.885</v>
      </c>
      <c r="H40" s="30">
        <v>0</v>
      </c>
      <c r="I40" s="29">
        <f t="shared" si="1"/>
        <v>23.885</v>
      </c>
      <c r="J40" s="3"/>
    </row>
    <row r="41" spans="1:23" ht="15.75">
      <c r="A41" s="4" t="s">
        <v>78</v>
      </c>
      <c r="B41" s="8" t="s">
        <v>54</v>
      </c>
      <c r="C41" s="8" t="s">
        <v>53</v>
      </c>
      <c r="D41" s="10">
        <v>0.344</v>
      </c>
      <c r="E41" s="10">
        <v>2</v>
      </c>
      <c r="F41" s="10">
        <f t="shared" si="2"/>
        <v>1.6560000000000001</v>
      </c>
      <c r="G41" s="29">
        <v>48.662</v>
      </c>
      <c r="H41" s="29">
        <f>0.15*744</f>
        <v>111.6</v>
      </c>
      <c r="I41" s="29">
        <f t="shared" si="1"/>
        <v>160.262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4" t="s">
        <v>79</v>
      </c>
      <c r="B42" s="8" t="s">
        <v>49</v>
      </c>
      <c r="C42" s="8" t="s">
        <v>48</v>
      </c>
      <c r="D42" s="10">
        <v>0.062</v>
      </c>
      <c r="E42" s="10">
        <v>1</v>
      </c>
      <c r="F42" s="10">
        <f t="shared" si="2"/>
        <v>0.938</v>
      </c>
      <c r="G42" s="29">
        <v>5.034</v>
      </c>
      <c r="H42" s="29">
        <f>0.1*744</f>
        <v>74.4</v>
      </c>
      <c r="I42" s="29">
        <f t="shared" si="1"/>
        <v>79.43400000000001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80</v>
      </c>
      <c r="B43" s="8" t="s">
        <v>51</v>
      </c>
      <c r="C43" s="8" t="s">
        <v>50</v>
      </c>
      <c r="D43" s="10">
        <v>0.24</v>
      </c>
      <c r="E43" s="10">
        <v>2</v>
      </c>
      <c r="F43" s="10">
        <f t="shared" si="2"/>
        <v>1.76</v>
      </c>
      <c r="G43" s="29">
        <v>16.248</v>
      </c>
      <c r="H43" s="29">
        <v>0</v>
      </c>
      <c r="I43" s="29">
        <f t="shared" si="1"/>
        <v>16.248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81</v>
      </c>
      <c r="B44" s="8" t="s">
        <v>66</v>
      </c>
      <c r="C44" s="8" t="s">
        <v>65</v>
      </c>
      <c r="D44" s="10">
        <v>2.22</v>
      </c>
      <c r="E44" s="10">
        <v>10</v>
      </c>
      <c r="F44" s="10">
        <f t="shared" si="2"/>
        <v>7.779999999999999</v>
      </c>
      <c r="G44" s="29">
        <v>203.821</v>
      </c>
      <c r="H44" s="29">
        <f>0.062*744</f>
        <v>46.128</v>
      </c>
      <c r="I44" s="29">
        <f t="shared" si="1"/>
        <v>249.949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1.5">
      <c r="A45" s="4" t="s">
        <v>82</v>
      </c>
      <c r="B45" s="8" t="s">
        <v>57</v>
      </c>
      <c r="C45" s="8" t="s">
        <v>58</v>
      </c>
      <c r="D45" s="10">
        <v>0.137</v>
      </c>
      <c r="E45" s="10">
        <v>2</v>
      </c>
      <c r="F45" s="10">
        <f t="shared" si="2"/>
        <v>1.863</v>
      </c>
      <c r="G45" s="29">
        <v>5.967</v>
      </c>
      <c r="H45" s="29">
        <f>0.004*744</f>
        <v>2.976</v>
      </c>
      <c r="I45" s="29">
        <f t="shared" si="1"/>
        <v>8.943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4" t="s">
        <v>99</v>
      </c>
      <c r="B46" s="8" t="s">
        <v>60</v>
      </c>
      <c r="C46" s="8" t="s">
        <v>59</v>
      </c>
      <c r="D46" s="10">
        <v>0.166</v>
      </c>
      <c r="E46" s="10">
        <v>2</v>
      </c>
      <c r="F46" s="10">
        <f t="shared" si="2"/>
        <v>1.834</v>
      </c>
      <c r="G46" s="29">
        <v>12.084</v>
      </c>
      <c r="H46" s="29">
        <f>0.003*744</f>
        <v>2.232</v>
      </c>
      <c r="I46" s="29">
        <f t="shared" si="1"/>
        <v>14.315999999999999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4" t="s">
        <v>122</v>
      </c>
      <c r="B47" s="8" t="s">
        <v>62</v>
      </c>
      <c r="C47" s="8" t="s">
        <v>61</v>
      </c>
      <c r="D47" s="10">
        <v>0.26</v>
      </c>
      <c r="E47" s="10">
        <v>5.8</v>
      </c>
      <c r="F47" s="10">
        <f t="shared" si="2"/>
        <v>5.54</v>
      </c>
      <c r="G47" s="29">
        <v>22.237</v>
      </c>
      <c r="H47" s="29">
        <f>0.0112*744</f>
        <v>8.3328</v>
      </c>
      <c r="I47" s="29">
        <f t="shared" si="1"/>
        <v>30.5698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4" t="s">
        <v>123</v>
      </c>
      <c r="B48" s="8" t="s">
        <v>64</v>
      </c>
      <c r="C48" s="8" t="s">
        <v>63</v>
      </c>
      <c r="D48" s="10">
        <v>0.18</v>
      </c>
      <c r="E48" s="10">
        <v>3</v>
      </c>
      <c r="F48" s="10">
        <f t="shared" si="2"/>
        <v>2.82</v>
      </c>
      <c r="G48" s="29">
        <v>8.962</v>
      </c>
      <c r="H48" s="29">
        <f>0.00664*744</f>
        <v>4.94016</v>
      </c>
      <c r="I48" s="29">
        <f t="shared" si="1"/>
        <v>13.902159999999999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124</v>
      </c>
      <c r="B49" s="8" t="s">
        <v>84</v>
      </c>
      <c r="C49" s="8" t="s">
        <v>83</v>
      </c>
      <c r="D49" s="10">
        <v>0.086</v>
      </c>
      <c r="E49" s="10">
        <v>3</v>
      </c>
      <c r="F49" s="10">
        <f t="shared" si="2"/>
        <v>2.914</v>
      </c>
      <c r="G49" s="29">
        <v>8.392</v>
      </c>
      <c r="H49" s="29">
        <f>0.006*744</f>
        <v>4.464</v>
      </c>
      <c r="I49" s="29">
        <f t="shared" si="1"/>
        <v>12.856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4" t="s">
        <v>125</v>
      </c>
      <c r="B50" s="8" t="s">
        <v>86</v>
      </c>
      <c r="C50" s="8" t="s">
        <v>85</v>
      </c>
      <c r="D50" s="10">
        <v>0.109</v>
      </c>
      <c r="E50" s="10">
        <v>2</v>
      </c>
      <c r="F50" s="10">
        <f t="shared" si="2"/>
        <v>1.891</v>
      </c>
      <c r="G50" s="29">
        <v>7.299</v>
      </c>
      <c r="H50" s="29">
        <v>0</v>
      </c>
      <c r="I50" s="29">
        <f t="shared" si="1"/>
        <v>7.299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4" t="s">
        <v>126</v>
      </c>
      <c r="B51" s="8" t="s">
        <v>96</v>
      </c>
      <c r="C51" s="8" t="s">
        <v>95</v>
      </c>
      <c r="D51" s="11" t="s">
        <v>189</v>
      </c>
      <c r="E51" s="12"/>
      <c r="F51" s="10"/>
      <c r="G51" s="29">
        <v>44.969</v>
      </c>
      <c r="H51" s="29">
        <v>0</v>
      </c>
      <c r="I51" s="29">
        <f t="shared" si="1"/>
        <v>44.969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1.5">
      <c r="A52" s="4" t="s">
        <v>127</v>
      </c>
      <c r="B52" s="8" t="s">
        <v>160</v>
      </c>
      <c r="C52" s="8" t="s">
        <v>102</v>
      </c>
      <c r="D52" s="10">
        <v>0.121</v>
      </c>
      <c r="E52" s="10">
        <v>3</v>
      </c>
      <c r="F52" s="10">
        <f t="shared" si="2"/>
        <v>2.879</v>
      </c>
      <c r="G52" s="29">
        <v>5.675</v>
      </c>
      <c r="H52" s="29">
        <f>0.0006*744</f>
        <v>0.44639999999999996</v>
      </c>
      <c r="I52" s="29">
        <f t="shared" si="1"/>
        <v>6.1213999999999995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128</v>
      </c>
      <c r="B53" s="8" t="s">
        <v>92</v>
      </c>
      <c r="C53" s="8" t="s">
        <v>91</v>
      </c>
      <c r="D53" s="10">
        <v>0.235</v>
      </c>
      <c r="E53" s="10">
        <v>3</v>
      </c>
      <c r="F53" s="10">
        <f t="shared" si="2"/>
        <v>2.765</v>
      </c>
      <c r="G53" s="29">
        <v>14.863</v>
      </c>
      <c r="H53" s="29">
        <f>0.005*744</f>
        <v>3.72</v>
      </c>
      <c r="I53" s="29">
        <f t="shared" si="1"/>
        <v>18.583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10" ht="15.75">
      <c r="A54" s="4" t="s">
        <v>129</v>
      </c>
      <c r="B54" s="5" t="s">
        <v>117</v>
      </c>
      <c r="C54" s="5" t="s">
        <v>116</v>
      </c>
      <c r="D54" s="5">
        <v>0.107</v>
      </c>
      <c r="E54" s="5">
        <v>2</v>
      </c>
      <c r="F54" s="10">
        <f t="shared" si="2"/>
        <v>1.893</v>
      </c>
      <c r="G54" s="29">
        <v>10.568</v>
      </c>
      <c r="H54" s="30">
        <f>0.01046*744</f>
        <v>7.782240000000001</v>
      </c>
      <c r="I54" s="29">
        <f t="shared" si="1"/>
        <v>18.35024</v>
      </c>
      <c r="J54" s="3"/>
    </row>
    <row r="55" spans="1:10" ht="15.75">
      <c r="A55" s="4" t="s">
        <v>130</v>
      </c>
      <c r="B55" s="5" t="s">
        <v>121</v>
      </c>
      <c r="C55" s="5" t="s">
        <v>120</v>
      </c>
      <c r="D55" s="5">
        <v>0.124</v>
      </c>
      <c r="E55" s="5">
        <v>3</v>
      </c>
      <c r="F55" s="10">
        <f t="shared" si="2"/>
        <v>2.876</v>
      </c>
      <c r="G55" s="29">
        <v>6.605</v>
      </c>
      <c r="H55" s="30">
        <f>0.005*744</f>
        <v>3.72</v>
      </c>
      <c r="I55" s="29">
        <f t="shared" si="1"/>
        <v>10.325000000000001</v>
      </c>
      <c r="J55" s="3"/>
    </row>
    <row r="56" spans="1:23" ht="47.25">
      <c r="A56" s="4" t="s">
        <v>169</v>
      </c>
      <c r="B56" s="8" t="s">
        <v>90</v>
      </c>
      <c r="C56" s="8" t="s">
        <v>89</v>
      </c>
      <c r="D56" s="10">
        <v>1.57</v>
      </c>
      <c r="E56" s="10">
        <v>10</v>
      </c>
      <c r="F56" s="10">
        <f t="shared" si="2"/>
        <v>8.43</v>
      </c>
      <c r="G56" s="29">
        <v>216.304</v>
      </c>
      <c r="H56" s="29">
        <f>0.3332*744</f>
        <v>247.9008</v>
      </c>
      <c r="I56" s="29">
        <f t="shared" si="1"/>
        <v>464.2048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A57" s="4" t="s">
        <v>174</v>
      </c>
      <c r="B57" s="8" t="s">
        <v>88</v>
      </c>
      <c r="C57" s="8" t="s">
        <v>87</v>
      </c>
      <c r="D57" s="10">
        <v>0.19</v>
      </c>
      <c r="E57" s="10">
        <v>2</v>
      </c>
      <c r="F57" s="10">
        <f t="shared" si="2"/>
        <v>1.81</v>
      </c>
      <c r="G57" s="29">
        <v>38.503</v>
      </c>
      <c r="H57" s="29">
        <v>0</v>
      </c>
      <c r="I57" s="29">
        <f t="shared" si="1"/>
        <v>38.503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A58" s="4" t="s">
        <v>177</v>
      </c>
      <c r="B58" s="8" t="s">
        <v>56</v>
      </c>
      <c r="C58" s="8" t="s">
        <v>55</v>
      </c>
      <c r="D58" s="10">
        <v>0.19</v>
      </c>
      <c r="E58" s="10">
        <v>2</v>
      </c>
      <c r="F58" s="10">
        <f t="shared" si="2"/>
        <v>1.81</v>
      </c>
      <c r="G58" s="29">
        <v>28.577</v>
      </c>
      <c r="H58" s="29">
        <f>0.005*744</f>
        <v>3.72</v>
      </c>
      <c r="I58" s="29">
        <f t="shared" si="1"/>
        <v>32.297000000000004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10" ht="15.75">
      <c r="A59" s="4" t="s">
        <v>186</v>
      </c>
      <c r="B59" s="5" t="s">
        <v>119</v>
      </c>
      <c r="C59" s="5" t="s">
        <v>118</v>
      </c>
      <c r="D59" s="5">
        <v>0.086</v>
      </c>
      <c r="E59" s="5">
        <v>2</v>
      </c>
      <c r="F59" s="10">
        <f t="shared" si="2"/>
        <v>1.914</v>
      </c>
      <c r="G59" s="29">
        <v>22.389</v>
      </c>
      <c r="H59" s="30">
        <v>0</v>
      </c>
      <c r="I59" s="29">
        <f t="shared" si="1"/>
        <v>22.389</v>
      </c>
      <c r="J59" s="3"/>
    </row>
    <row r="60" spans="1:10" ht="15.75">
      <c r="A60" s="4" t="s">
        <v>187</v>
      </c>
      <c r="B60" s="5" t="s">
        <v>170</v>
      </c>
      <c r="C60" s="5" t="s">
        <v>171</v>
      </c>
      <c r="D60" s="5">
        <v>12.59</v>
      </c>
      <c r="E60" s="5">
        <v>50</v>
      </c>
      <c r="F60" s="10">
        <f t="shared" si="2"/>
        <v>37.41</v>
      </c>
      <c r="G60" s="29">
        <v>0.633</v>
      </c>
      <c r="H60" s="30">
        <v>2.662</v>
      </c>
      <c r="I60" s="29">
        <f t="shared" si="1"/>
        <v>3.295</v>
      </c>
      <c r="J60" s="3"/>
    </row>
    <row r="61" spans="1:10" ht="15.75">
      <c r="A61" s="13" t="s">
        <v>151</v>
      </c>
      <c r="B61" s="14"/>
      <c r="C61" s="15"/>
      <c r="D61" s="6"/>
      <c r="E61" s="6"/>
      <c r="F61" s="10"/>
      <c r="G61" s="31">
        <f>SUM(G5:G60)</f>
        <v>9113.817499999996</v>
      </c>
      <c r="H61" s="31">
        <f>SUM(H5:H60)</f>
        <v>9018.4844</v>
      </c>
      <c r="I61" s="31">
        <f>SUM(I5:I60)</f>
        <v>18132.30189999999</v>
      </c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.7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.7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.7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.7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.75">
      <c r="B326" s="3"/>
      <c r="C326" s="3"/>
      <c r="D326" s="3"/>
      <c r="E326" s="3"/>
      <c r="F326" s="3"/>
      <c r="G326" s="3"/>
      <c r="H326" s="3"/>
      <c r="I326" s="3"/>
      <c r="J326" s="3"/>
    </row>
  </sheetData>
  <sheetProtection/>
  <mergeCells count="8">
    <mergeCell ref="D51:E51"/>
    <mergeCell ref="A61:C61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6"/>
  <sheetViews>
    <sheetView view="pageBreakPreview" zoomScaleSheetLayoutView="100" zoomScalePageLayoutView="0" workbookViewId="0" topLeftCell="A1">
      <pane ySplit="4" topLeftCell="A40" activePane="bottomLeft" state="frozen"/>
      <selection pane="topLeft" activeCell="A1" sqref="A1"/>
      <selection pane="bottomLeft" activeCell="G5" sqref="G5:I61"/>
    </sheetView>
  </sheetViews>
  <sheetFormatPr defaultColWidth="9.140625" defaultRowHeight="15"/>
  <cols>
    <col min="1" max="1" width="6.140625" style="0" customWidth="1"/>
    <col min="2" max="2" width="20.710937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7" t="s">
        <v>152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7" t="s">
        <v>2</v>
      </c>
      <c r="B3" s="17" t="s">
        <v>1</v>
      </c>
      <c r="C3" s="17" t="s">
        <v>8</v>
      </c>
      <c r="D3" s="18" t="s">
        <v>0</v>
      </c>
      <c r="E3" s="19"/>
      <c r="F3" s="20"/>
      <c r="G3" s="17" t="s">
        <v>3</v>
      </c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17"/>
      <c r="B4" s="17"/>
      <c r="C4" s="17"/>
      <c r="D4" s="8" t="s">
        <v>162</v>
      </c>
      <c r="E4" s="8" t="s">
        <v>153</v>
      </c>
      <c r="F4" s="8" t="s">
        <v>163</v>
      </c>
      <c r="G4" s="8" t="s">
        <v>4</v>
      </c>
      <c r="H4" s="8" t="s">
        <v>5</v>
      </c>
      <c r="I4" s="8" t="s">
        <v>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8" t="s">
        <v>7</v>
      </c>
      <c r="C5" s="8" t="s">
        <v>19</v>
      </c>
      <c r="D5" s="22">
        <v>198.91666666666666</v>
      </c>
      <c r="E5" s="25">
        <v>235</v>
      </c>
      <c r="F5" s="22">
        <f>E5-D5</f>
        <v>36.08333333333334</v>
      </c>
      <c r="G5" s="29">
        <v>46515.808</v>
      </c>
      <c r="H5" s="29">
        <v>2421.166</v>
      </c>
      <c r="I5" s="29">
        <f>G5+H5</f>
        <v>48936.973999999995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10</v>
      </c>
      <c r="B6" s="10" t="s">
        <v>178</v>
      </c>
      <c r="C6" s="21" t="s">
        <v>179</v>
      </c>
      <c r="D6" s="24">
        <v>0</v>
      </c>
      <c r="E6" s="25">
        <v>120</v>
      </c>
      <c r="F6" s="22">
        <f aca="true" t="shared" si="0" ref="F6:F20">E6-D6</f>
        <v>120</v>
      </c>
      <c r="G6" s="29" t="s">
        <v>188</v>
      </c>
      <c r="H6" s="29"/>
      <c r="I6" s="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4" t="s">
        <v>13</v>
      </c>
      <c r="B7" s="8" t="s">
        <v>101</v>
      </c>
      <c r="C7" s="8" t="s">
        <v>100</v>
      </c>
      <c r="D7" s="22">
        <v>1.4504166666666667</v>
      </c>
      <c r="E7" s="25">
        <v>10</v>
      </c>
      <c r="F7" s="22">
        <f t="shared" si="0"/>
        <v>8.549583333333333</v>
      </c>
      <c r="G7" s="29">
        <v>43.175</v>
      </c>
      <c r="H7" s="29">
        <v>3.744</v>
      </c>
      <c r="I7" s="29">
        <f aca="true" t="shared" si="1" ref="I7:I60">G7+H7</f>
        <v>46.919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7.25">
      <c r="A8" s="4" t="s">
        <v>17</v>
      </c>
      <c r="B8" s="8" t="s">
        <v>24</v>
      </c>
      <c r="C8" s="8" t="s">
        <v>22</v>
      </c>
      <c r="D8" s="22">
        <v>5.890416666666667</v>
      </c>
      <c r="E8" s="25">
        <v>10</v>
      </c>
      <c r="F8" s="22">
        <f t="shared" si="0"/>
        <v>4.109583333333333</v>
      </c>
      <c r="G8" s="29">
        <v>330.743</v>
      </c>
      <c r="H8" s="29">
        <v>698.244</v>
      </c>
      <c r="I8" s="29">
        <f t="shared" si="1"/>
        <v>1028.987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1.5">
      <c r="A9" s="4" t="s">
        <v>21</v>
      </c>
      <c r="B9" s="8" t="s">
        <v>11</v>
      </c>
      <c r="C9" s="8" t="s">
        <v>9</v>
      </c>
      <c r="D9" s="10">
        <v>5.66</v>
      </c>
      <c r="E9" s="10">
        <v>10</v>
      </c>
      <c r="F9" s="22">
        <f t="shared" si="0"/>
        <v>4.34</v>
      </c>
      <c r="G9" s="29">
        <v>303.321</v>
      </c>
      <c r="H9" s="29">
        <f>0.0857*744</f>
        <v>63.760799999999996</v>
      </c>
      <c r="I9" s="29">
        <f t="shared" si="1"/>
        <v>367.08180000000004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0" ht="15.75">
      <c r="A10" s="4" t="s">
        <v>23</v>
      </c>
      <c r="B10" s="5" t="s">
        <v>136</v>
      </c>
      <c r="C10" s="5" t="s">
        <v>135</v>
      </c>
      <c r="D10" s="5">
        <v>0.61</v>
      </c>
      <c r="E10" s="5">
        <v>2</v>
      </c>
      <c r="F10" s="22">
        <f t="shared" si="0"/>
        <v>1.3900000000000001</v>
      </c>
      <c r="G10" s="30">
        <v>46.71</v>
      </c>
      <c r="H10" s="30">
        <v>0</v>
      </c>
      <c r="I10" s="29">
        <f t="shared" si="1"/>
        <v>46.71</v>
      </c>
      <c r="J10" s="3"/>
    </row>
    <row r="11" spans="1:23" ht="31.5">
      <c r="A11" s="4" t="s">
        <v>25</v>
      </c>
      <c r="B11" s="8" t="s">
        <v>16</v>
      </c>
      <c r="C11" s="8" t="s">
        <v>18</v>
      </c>
      <c r="D11" s="10">
        <v>3.54</v>
      </c>
      <c r="E11" s="10">
        <v>5</v>
      </c>
      <c r="F11" s="23">
        <f t="shared" si="0"/>
        <v>1.46</v>
      </c>
      <c r="G11" s="29">
        <v>138.728</v>
      </c>
      <c r="H11" s="29">
        <f>0.014*744</f>
        <v>10.416</v>
      </c>
      <c r="I11" s="29">
        <f t="shared" si="1"/>
        <v>149.144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0" ht="15.75">
      <c r="A12" s="4" t="s">
        <v>26</v>
      </c>
      <c r="B12" s="5" t="s">
        <v>138</v>
      </c>
      <c r="C12" s="5" t="s">
        <v>137</v>
      </c>
      <c r="D12" s="5">
        <v>0.17</v>
      </c>
      <c r="E12" s="5">
        <v>1</v>
      </c>
      <c r="F12" s="23">
        <f t="shared" si="0"/>
        <v>0.83</v>
      </c>
      <c r="G12" s="30">
        <v>0</v>
      </c>
      <c r="H12" s="30">
        <f>0.045*744</f>
        <v>33.48</v>
      </c>
      <c r="I12" s="29">
        <f t="shared" si="1"/>
        <v>33.48</v>
      </c>
      <c r="J12" s="3"/>
    </row>
    <row r="13" spans="1:23" ht="15.75">
      <c r="A13" s="4" t="s">
        <v>27</v>
      </c>
      <c r="B13" s="8" t="s">
        <v>105</v>
      </c>
      <c r="C13" s="8" t="s">
        <v>104</v>
      </c>
      <c r="D13" s="10">
        <v>1.44</v>
      </c>
      <c r="E13" s="10">
        <v>5</v>
      </c>
      <c r="F13" s="23">
        <f t="shared" si="0"/>
        <v>3.56</v>
      </c>
      <c r="G13" s="29">
        <v>108.687</v>
      </c>
      <c r="H13" s="29">
        <f>0.0195*744</f>
        <v>14.508</v>
      </c>
      <c r="I13" s="29">
        <f t="shared" si="1"/>
        <v>123.195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>
      <c r="A14" s="4" t="s">
        <v>28</v>
      </c>
      <c r="B14" s="8" t="s">
        <v>52</v>
      </c>
      <c r="C14" s="8" t="s">
        <v>145</v>
      </c>
      <c r="D14" s="10">
        <v>0.64</v>
      </c>
      <c r="E14" s="10">
        <v>2</v>
      </c>
      <c r="F14" s="23">
        <f t="shared" si="0"/>
        <v>1.3599999999999999</v>
      </c>
      <c r="G14" s="29">
        <v>45.902</v>
      </c>
      <c r="H14" s="29">
        <f>0.045*744</f>
        <v>33.48</v>
      </c>
      <c r="I14" s="29">
        <f t="shared" si="1"/>
        <v>79.382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1.5">
      <c r="A15" s="4" t="s">
        <v>29</v>
      </c>
      <c r="B15" s="8" t="s">
        <v>146</v>
      </c>
      <c r="C15" s="8" t="s">
        <v>147</v>
      </c>
      <c r="D15" s="10">
        <v>1.24</v>
      </c>
      <c r="E15" s="10">
        <v>2.5</v>
      </c>
      <c r="F15" s="23">
        <f t="shared" si="0"/>
        <v>1.26</v>
      </c>
      <c r="G15" s="29">
        <v>84.192</v>
      </c>
      <c r="H15" s="29">
        <f>0.0185*744</f>
        <v>13.764</v>
      </c>
      <c r="I15" s="29">
        <f t="shared" si="1"/>
        <v>97.95599999999999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30</v>
      </c>
      <c r="B16" s="8" t="s">
        <v>148</v>
      </c>
      <c r="C16" s="8" t="s">
        <v>149</v>
      </c>
      <c r="D16" s="10">
        <v>0.06</v>
      </c>
      <c r="E16" s="10">
        <v>1</v>
      </c>
      <c r="F16" s="23">
        <f t="shared" si="0"/>
        <v>0.94</v>
      </c>
      <c r="G16" s="29">
        <v>4.333</v>
      </c>
      <c r="H16" s="29">
        <v>0</v>
      </c>
      <c r="I16" s="29">
        <f t="shared" si="1"/>
        <v>4.333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31</v>
      </c>
      <c r="B17" s="9" t="s">
        <v>175</v>
      </c>
      <c r="C17" s="9" t="s">
        <v>176</v>
      </c>
      <c r="D17" s="23">
        <v>0.7</v>
      </c>
      <c r="E17" s="10">
        <v>1</v>
      </c>
      <c r="F17" s="23">
        <f t="shared" si="0"/>
        <v>0.30000000000000004</v>
      </c>
      <c r="G17" s="29">
        <v>0</v>
      </c>
      <c r="H17" s="29">
        <v>0</v>
      </c>
      <c r="I17" s="29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4" t="s">
        <v>32</v>
      </c>
      <c r="B18" s="8" t="s">
        <v>98</v>
      </c>
      <c r="C18" s="8" t="s">
        <v>97</v>
      </c>
      <c r="D18" s="10">
        <v>3.9</v>
      </c>
      <c r="E18" s="10">
        <v>20</v>
      </c>
      <c r="F18" s="23">
        <f t="shared" si="0"/>
        <v>16.1</v>
      </c>
      <c r="G18" s="29">
        <v>39.036</v>
      </c>
      <c r="H18" s="29">
        <f>0.089*744</f>
        <v>66.216</v>
      </c>
      <c r="I18" s="29">
        <f t="shared" si="1"/>
        <v>105.252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1.5">
      <c r="A19" s="4" t="s">
        <v>33</v>
      </c>
      <c r="B19" s="10" t="s">
        <v>182</v>
      </c>
      <c r="C19" s="10" t="s">
        <v>184</v>
      </c>
      <c r="D19" s="10">
        <v>0</v>
      </c>
      <c r="E19" s="10">
        <v>5</v>
      </c>
      <c r="F19" s="23">
        <f t="shared" si="0"/>
        <v>5</v>
      </c>
      <c r="G19" s="29" t="s">
        <v>188</v>
      </c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4" t="s">
        <v>34</v>
      </c>
      <c r="B20" s="10" t="s">
        <v>183</v>
      </c>
      <c r="C20" s="10" t="s">
        <v>185</v>
      </c>
      <c r="D20" s="10">
        <v>0.07</v>
      </c>
      <c r="E20" s="10">
        <v>1</v>
      </c>
      <c r="F20" s="22">
        <f t="shared" si="0"/>
        <v>0.9299999999999999</v>
      </c>
      <c r="G20" s="29" t="s">
        <v>188</v>
      </c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78.75">
      <c r="A21" s="4" t="s">
        <v>35</v>
      </c>
      <c r="B21" s="10" t="s">
        <v>161</v>
      </c>
      <c r="C21" s="10" t="s">
        <v>20</v>
      </c>
      <c r="D21" s="22">
        <v>22.846666666666668</v>
      </c>
      <c r="E21" s="24">
        <v>43</v>
      </c>
      <c r="F21" s="22">
        <f>E21-D21</f>
        <v>20.153333333333332</v>
      </c>
      <c r="G21" s="29">
        <v>6981.08</v>
      </c>
      <c r="H21" s="29">
        <v>43.2</v>
      </c>
      <c r="I21" s="29">
        <f t="shared" si="1"/>
        <v>7024.28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7.25">
      <c r="A22" s="4" t="s">
        <v>36</v>
      </c>
      <c r="B22" s="10" t="s">
        <v>107</v>
      </c>
      <c r="C22" s="10" t="s">
        <v>106</v>
      </c>
      <c r="D22" s="22">
        <v>2.607083333333333</v>
      </c>
      <c r="E22" s="24">
        <v>20</v>
      </c>
      <c r="F22" s="22">
        <f>E22-D22</f>
        <v>17.392916666666668</v>
      </c>
      <c r="G22" s="29">
        <v>197.551</v>
      </c>
      <c r="H22" s="29">
        <v>7.2</v>
      </c>
      <c r="I22" s="29">
        <f t="shared" si="1"/>
        <v>204.75099999999998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0" ht="15.75">
      <c r="A23" s="4" t="s">
        <v>37</v>
      </c>
      <c r="B23" s="5" t="s">
        <v>140</v>
      </c>
      <c r="C23" s="5" t="s">
        <v>139</v>
      </c>
      <c r="D23" s="26">
        <v>0.5629166666666666</v>
      </c>
      <c r="E23" s="5">
        <v>2</v>
      </c>
      <c r="F23" s="22">
        <f aca="true" t="shared" si="2" ref="F23:F60">E23-D23</f>
        <v>1.4370833333333333</v>
      </c>
      <c r="G23" s="30">
        <v>50.502</v>
      </c>
      <c r="H23" s="30">
        <v>7.2</v>
      </c>
      <c r="I23" s="29">
        <f t="shared" si="1"/>
        <v>57.702000000000005</v>
      </c>
      <c r="J23" s="3"/>
    </row>
    <row r="24" spans="1:23" ht="31.5">
      <c r="A24" s="4" t="s">
        <v>38</v>
      </c>
      <c r="B24" s="8" t="s">
        <v>94</v>
      </c>
      <c r="C24" s="5" t="s">
        <v>93</v>
      </c>
      <c r="D24" s="22">
        <v>0.8370833333333333</v>
      </c>
      <c r="E24" s="10">
        <v>2</v>
      </c>
      <c r="F24" s="22">
        <f t="shared" si="2"/>
        <v>1.1629166666666668</v>
      </c>
      <c r="G24" s="29">
        <v>76.637</v>
      </c>
      <c r="H24" s="29">
        <v>7.2</v>
      </c>
      <c r="I24" s="29">
        <f t="shared" si="1"/>
        <v>83.837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94.5">
      <c r="A25" s="4" t="s">
        <v>39</v>
      </c>
      <c r="B25" s="8" t="s">
        <v>14</v>
      </c>
      <c r="C25" s="8" t="s">
        <v>12</v>
      </c>
      <c r="D25" s="10">
        <v>11.26</v>
      </c>
      <c r="E25" s="10">
        <v>20</v>
      </c>
      <c r="F25" s="10">
        <f t="shared" si="2"/>
        <v>8.74</v>
      </c>
      <c r="G25" s="29">
        <v>802.809</v>
      </c>
      <c r="H25" s="29">
        <f>0.789*744</f>
        <v>587.0160000000001</v>
      </c>
      <c r="I25" s="29">
        <f t="shared" si="1"/>
        <v>1389.825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1.5">
      <c r="A26" s="4" t="s">
        <v>40</v>
      </c>
      <c r="B26" s="8" t="s">
        <v>108</v>
      </c>
      <c r="C26" s="8" t="s">
        <v>109</v>
      </c>
      <c r="D26" s="23">
        <v>0.8</v>
      </c>
      <c r="E26" s="10">
        <v>2</v>
      </c>
      <c r="F26" s="10">
        <f t="shared" si="2"/>
        <v>1.2</v>
      </c>
      <c r="G26" s="29">
        <v>43.121</v>
      </c>
      <c r="H26" s="29">
        <f>0.015*744</f>
        <v>11.16</v>
      </c>
      <c r="I26" s="29">
        <f t="shared" si="1"/>
        <v>54.281000000000006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0" ht="15.75">
      <c r="A27" s="4" t="s">
        <v>41</v>
      </c>
      <c r="B27" s="5" t="s">
        <v>142</v>
      </c>
      <c r="C27" s="5" t="s">
        <v>141</v>
      </c>
      <c r="D27" s="5">
        <v>0.21</v>
      </c>
      <c r="E27" s="5">
        <v>1</v>
      </c>
      <c r="F27" s="10">
        <f t="shared" si="2"/>
        <v>0.79</v>
      </c>
      <c r="G27" s="30">
        <v>15.348</v>
      </c>
      <c r="H27" s="30">
        <f>0.001*744</f>
        <v>0.744</v>
      </c>
      <c r="I27" s="29">
        <f t="shared" si="1"/>
        <v>16.092000000000002</v>
      </c>
      <c r="J27" s="3"/>
    </row>
    <row r="28" spans="1:10" ht="15.75">
      <c r="A28" s="4" t="s">
        <v>42</v>
      </c>
      <c r="B28" s="5" t="s">
        <v>113</v>
      </c>
      <c r="C28" s="5" t="s">
        <v>112</v>
      </c>
      <c r="D28" s="5">
        <v>0.13</v>
      </c>
      <c r="E28" s="5">
        <v>2</v>
      </c>
      <c r="F28" s="10">
        <f t="shared" si="2"/>
        <v>1.87</v>
      </c>
      <c r="G28" s="30">
        <v>6.366</v>
      </c>
      <c r="H28" s="30">
        <v>0</v>
      </c>
      <c r="I28" s="29">
        <f t="shared" si="1"/>
        <v>6.366</v>
      </c>
      <c r="J28" s="3"/>
    </row>
    <row r="29" spans="1:10" ht="15.75">
      <c r="A29" s="4" t="s">
        <v>43</v>
      </c>
      <c r="B29" s="5" t="s">
        <v>114</v>
      </c>
      <c r="C29" s="5" t="s">
        <v>115</v>
      </c>
      <c r="D29" s="5">
        <v>0.75</v>
      </c>
      <c r="E29" s="5">
        <v>2</v>
      </c>
      <c r="F29" s="10">
        <f t="shared" si="2"/>
        <v>1.25</v>
      </c>
      <c r="G29" s="30">
        <v>47.656</v>
      </c>
      <c r="H29" s="30">
        <f>0.02*744</f>
        <v>14.88</v>
      </c>
      <c r="I29" s="29">
        <f t="shared" si="1"/>
        <v>62.536</v>
      </c>
      <c r="J29" s="3"/>
    </row>
    <row r="30" spans="1:23" ht="15.75">
      <c r="A30" s="4" t="s">
        <v>44</v>
      </c>
      <c r="B30" s="8" t="s">
        <v>154</v>
      </c>
      <c r="C30" s="8" t="s">
        <v>155</v>
      </c>
      <c r="D30" s="10">
        <v>0.26</v>
      </c>
      <c r="E30" s="10">
        <v>2</v>
      </c>
      <c r="F30" s="10">
        <f t="shared" si="2"/>
        <v>1.74</v>
      </c>
      <c r="G30" s="29">
        <v>42.285</v>
      </c>
      <c r="H30" s="29">
        <v>0</v>
      </c>
      <c r="I30" s="29">
        <f t="shared" si="1"/>
        <v>42.285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45</v>
      </c>
      <c r="B31" s="8" t="s">
        <v>156</v>
      </c>
      <c r="C31" s="8" t="s">
        <v>157</v>
      </c>
      <c r="D31" s="10">
        <v>0.17</v>
      </c>
      <c r="E31" s="10">
        <v>10</v>
      </c>
      <c r="F31" s="10">
        <f t="shared" si="2"/>
        <v>9.83</v>
      </c>
      <c r="G31" s="29">
        <v>11.886</v>
      </c>
      <c r="H31" s="29">
        <f>0.007*744</f>
        <v>5.208</v>
      </c>
      <c r="I31" s="29">
        <f t="shared" si="1"/>
        <v>17.094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69</v>
      </c>
      <c r="B32" s="9" t="s">
        <v>172</v>
      </c>
      <c r="C32" s="9" t="s">
        <v>173</v>
      </c>
      <c r="D32" s="23">
        <v>0.1</v>
      </c>
      <c r="E32" s="10">
        <v>1</v>
      </c>
      <c r="F32" s="10">
        <f t="shared" si="2"/>
        <v>0.9</v>
      </c>
      <c r="G32" s="29">
        <v>7.491</v>
      </c>
      <c r="H32" s="29">
        <v>0</v>
      </c>
      <c r="I32" s="29">
        <f t="shared" si="1"/>
        <v>7.491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4" t="s">
        <v>70</v>
      </c>
      <c r="B33" s="8" t="s">
        <v>47</v>
      </c>
      <c r="C33" s="8" t="s">
        <v>46</v>
      </c>
      <c r="D33" s="10">
        <v>0.37</v>
      </c>
      <c r="E33" s="10">
        <v>2</v>
      </c>
      <c r="F33" s="10">
        <f t="shared" si="2"/>
        <v>1.63</v>
      </c>
      <c r="G33" s="29">
        <v>24.2</v>
      </c>
      <c r="H33" s="29">
        <v>0</v>
      </c>
      <c r="I33" s="29">
        <f t="shared" si="1"/>
        <v>24.2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71</v>
      </c>
      <c r="B34" s="8" t="s">
        <v>111</v>
      </c>
      <c r="C34" s="8" t="s">
        <v>110</v>
      </c>
      <c r="D34" s="10">
        <v>0.28</v>
      </c>
      <c r="E34" s="10">
        <v>1</v>
      </c>
      <c r="F34" s="10">
        <f t="shared" si="2"/>
        <v>0.72</v>
      </c>
      <c r="G34" s="29">
        <v>22.764</v>
      </c>
      <c r="H34" s="29">
        <v>0</v>
      </c>
      <c r="I34" s="29">
        <f t="shared" si="1"/>
        <v>22.764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>
      <c r="A35" s="4" t="s">
        <v>72</v>
      </c>
      <c r="B35" s="8" t="s">
        <v>68</v>
      </c>
      <c r="C35" s="8" t="s">
        <v>67</v>
      </c>
      <c r="D35" s="10">
        <v>2.07</v>
      </c>
      <c r="E35" s="10">
        <v>5</v>
      </c>
      <c r="F35" s="10">
        <f t="shared" si="2"/>
        <v>2.93</v>
      </c>
      <c r="G35" s="29">
        <v>178.412</v>
      </c>
      <c r="H35" s="29">
        <f>0.02*744</f>
        <v>14.88</v>
      </c>
      <c r="I35" s="29">
        <f t="shared" si="1"/>
        <v>193.292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4" t="s">
        <v>73</v>
      </c>
      <c r="B36" s="8" t="s">
        <v>164</v>
      </c>
      <c r="C36" s="8" t="s">
        <v>150</v>
      </c>
      <c r="D36" s="10">
        <v>0.66</v>
      </c>
      <c r="E36" s="10">
        <v>10</v>
      </c>
      <c r="F36" s="10">
        <f t="shared" si="2"/>
        <v>9.34</v>
      </c>
      <c r="G36" s="29">
        <v>42.348</v>
      </c>
      <c r="H36" s="29">
        <f>0.01*744</f>
        <v>7.44</v>
      </c>
      <c r="I36" s="29">
        <f t="shared" si="1"/>
        <v>49.788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4" t="s">
        <v>74</v>
      </c>
      <c r="B37" s="8" t="s">
        <v>143</v>
      </c>
      <c r="C37" s="8" t="s">
        <v>144</v>
      </c>
      <c r="D37" s="10">
        <v>0.25</v>
      </c>
      <c r="E37" s="10">
        <v>1</v>
      </c>
      <c r="F37" s="10">
        <f t="shared" si="2"/>
        <v>0.75</v>
      </c>
      <c r="G37" s="29">
        <v>21.728</v>
      </c>
      <c r="H37" s="29">
        <v>0</v>
      </c>
      <c r="I37" s="29">
        <f t="shared" si="1"/>
        <v>21.728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75</v>
      </c>
      <c r="B38" s="8" t="s">
        <v>158</v>
      </c>
      <c r="C38" s="8" t="s">
        <v>159</v>
      </c>
      <c r="D38" s="10">
        <v>0.37</v>
      </c>
      <c r="E38" s="10">
        <v>1</v>
      </c>
      <c r="F38" s="10">
        <f t="shared" si="2"/>
        <v>0.63</v>
      </c>
      <c r="G38" s="29">
        <v>31.708</v>
      </c>
      <c r="H38" s="29">
        <v>0</v>
      </c>
      <c r="I38" s="29">
        <f t="shared" si="1"/>
        <v>31.708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10" ht="15.75">
      <c r="A39" s="4" t="s">
        <v>76</v>
      </c>
      <c r="B39" s="5" t="s">
        <v>132</v>
      </c>
      <c r="C39" s="5" t="s">
        <v>131</v>
      </c>
      <c r="D39" s="5">
        <v>0.2</v>
      </c>
      <c r="E39" s="5">
        <v>1</v>
      </c>
      <c r="F39" s="10">
        <f t="shared" si="2"/>
        <v>0.8</v>
      </c>
      <c r="G39" s="30">
        <v>6.737</v>
      </c>
      <c r="H39" s="30">
        <v>0</v>
      </c>
      <c r="I39" s="29">
        <f t="shared" si="1"/>
        <v>6.737</v>
      </c>
      <c r="J39" s="3"/>
    </row>
    <row r="40" spans="1:10" ht="15.75">
      <c r="A40" s="4" t="s">
        <v>77</v>
      </c>
      <c r="B40" s="5" t="s">
        <v>134</v>
      </c>
      <c r="C40" s="5" t="s">
        <v>133</v>
      </c>
      <c r="D40" s="5">
        <v>0.38</v>
      </c>
      <c r="E40" s="5">
        <v>1</v>
      </c>
      <c r="F40" s="10">
        <f t="shared" si="2"/>
        <v>0.62</v>
      </c>
      <c r="G40" s="30">
        <v>27.777</v>
      </c>
      <c r="H40" s="30">
        <f>0.015*744</f>
        <v>11.16</v>
      </c>
      <c r="I40" s="29">
        <f t="shared" si="1"/>
        <v>38.937</v>
      </c>
      <c r="J40" s="3"/>
    </row>
    <row r="41" spans="1:23" ht="15.75">
      <c r="A41" s="4" t="s">
        <v>78</v>
      </c>
      <c r="B41" s="8" t="s">
        <v>54</v>
      </c>
      <c r="C41" s="8" t="s">
        <v>53</v>
      </c>
      <c r="D41" s="10">
        <v>0.344</v>
      </c>
      <c r="E41" s="10">
        <v>2</v>
      </c>
      <c r="F41" s="10">
        <f t="shared" si="2"/>
        <v>1.6560000000000001</v>
      </c>
      <c r="G41" s="28">
        <v>66.756</v>
      </c>
      <c r="H41" s="28">
        <f>0.01*744</f>
        <v>7.44</v>
      </c>
      <c r="I41" s="29">
        <f t="shared" si="1"/>
        <v>74.196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4" t="s">
        <v>79</v>
      </c>
      <c r="B42" s="8" t="s">
        <v>49</v>
      </c>
      <c r="C42" s="8" t="s">
        <v>48</v>
      </c>
      <c r="D42" s="10">
        <v>0.062</v>
      </c>
      <c r="E42" s="10">
        <v>1</v>
      </c>
      <c r="F42" s="10">
        <f t="shared" si="2"/>
        <v>0.938</v>
      </c>
      <c r="G42" s="29">
        <v>12.8</v>
      </c>
      <c r="H42" s="28">
        <f>0.01*744</f>
        <v>7.44</v>
      </c>
      <c r="I42" s="29">
        <f t="shared" si="1"/>
        <v>20.240000000000002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80</v>
      </c>
      <c r="B43" s="8" t="s">
        <v>51</v>
      </c>
      <c r="C43" s="8" t="s">
        <v>50</v>
      </c>
      <c r="D43" s="10">
        <v>0.24</v>
      </c>
      <c r="E43" s="10">
        <v>2</v>
      </c>
      <c r="F43" s="10">
        <f t="shared" si="2"/>
        <v>1.76</v>
      </c>
      <c r="G43" s="28">
        <v>22.401</v>
      </c>
      <c r="H43" s="28">
        <f>0.01*744</f>
        <v>7.44</v>
      </c>
      <c r="I43" s="29">
        <f t="shared" si="1"/>
        <v>29.841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81</v>
      </c>
      <c r="B44" s="8" t="s">
        <v>66</v>
      </c>
      <c r="C44" s="8" t="s">
        <v>65</v>
      </c>
      <c r="D44" s="10">
        <v>2.22</v>
      </c>
      <c r="E44" s="10">
        <v>10</v>
      </c>
      <c r="F44" s="10">
        <f t="shared" si="2"/>
        <v>7.779999999999999</v>
      </c>
      <c r="G44" s="29">
        <v>248.086</v>
      </c>
      <c r="H44" s="29">
        <f>0.04665*744</f>
        <v>34.7076</v>
      </c>
      <c r="I44" s="29">
        <f t="shared" si="1"/>
        <v>282.7936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1.5">
      <c r="A45" s="4" t="s">
        <v>82</v>
      </c>
      <c r="B45" s="8" t="s">
        <v>57</v>
      </c>
      <c r="C45" s="8" t="s">
        <v>58</v>
      </c>
      <c r="D45" s="10">
        <v>0.137</v>
      </c>
      <c r="E45" s="10">
        <v>2</v>
      </c>
      <c r="F45" s="10">
        <f t="shared" si="2"/>
        <v>1.863</v>
      </c>
      <c r="G45" s="29">
        <v>11.252</v>
      </c>
      <c r="H45" s="29">
        <v>0</v>
      </c>
      <c r="I45" s="29">
        <f t="shared" si="1"/>
        <v>11.252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4" t="s">
        <v>99</v>
      </c>
      <c r="B46" s="8" t="s">
        <v>60</v>
      </c>
      <c r="C46" s="8" t="s">
        <v>59</v>
      </c>
      <c r="D46" s="10">
        <v>0.166</v>
      </c>
      <c r="E46" s="10">
        <v>2</v>
      </c>
      <c r="F46" s="10">
        <f t="shared" si="2"/>
        <v>1.834</v>
      </c>
      <c r="G46" s="29">
        <v>33.367</v>
      </c>
      <c r="H46" s="29">
        <v>0</v>
      </c>
      <c r="I46" s="29">
        <f t="shared" si="1"/>
        <v>33.367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4" t="s">
        <v>122</v>
      </c>
      <c r="B47" s="8" t="s">
        <v>62</v>
      </c>
      <c r="C47" s="8" t="s">
        <v>61</v>
      </c>
      <c r="D47" s="10">
        <v>0.26</v>
      </c>
      <c r="E47" s="10">
        <v>5.8</v>
      </c>
      <c r="F47" s="10">
        <f t="shared" si="2"/>
        <v>5.54</v>
      </c>
      <c r="G47" s="29">
        <v>46.55</v>
      </c>
      <c r="H47" s="29">
        <f>0.0048*744</f>
        <v>3.5711999999999997</v>
      </c>
      <c r="I47" s="29">
        <f t="shared" si="1"/>
        <v>50.121199999999995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4" t="s">
        <v>123</v>
      </c>
      <c r="B48" s="8" t="s">
        <v>64</v>
      </c>
      <c r="C48" s="8" t="s">
        <v>63</v>
      </c>
      <c r="D48" s="10">
        <v>0.18</v>
      </c>
      <c r="E48" s="10">
        <v>3</v>
      </c>
      <c r="F48" s="10">
        <f t="shared" si="2"/>
        <v>2.82</v>
      </c>
      <c r="G48" s="29">
        <v>36.995</v>
      </c>
      <c r="H48" s="29">
        <v>0</v>
      </c>
      <c r="I48" s="29">
        <f t="shared" si="1"/>
        <v>36.995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124</v>
      </c>
      <c r="B49" s="8" t="s">
        <v>84</v>
      </c>
      <c r="C49" s="8" t="s">
        <v>83</v>
      </c>
      <c r="D49" s="10">
        <v>0.086</v>
      </c>
      <c r="E49" s="10">
        <v>3</v>
      </c>
      <c r="F49" s="10">
        <f t="shared" si="2"/>
        <v>2.914</v>
      </c>
      <c r="G49" s="29">
        <v>23.965</v>
      </c>
      <c r="H49" s="29">
        <v>0</v>
      </c>
      <c r="I49" s="29">
        <f t="shared" si="1"/>
        <v>23.965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4" t="s">
        <v>125</v>
      </c>
      <c r="B50" s="8" t="s">
        <v>86</v>
      </c>
      <c r="C50" s="8" t="s">
        <v>85</v>
      </c>
      <c r="D50" s="10">
        <v>0.109</v>
      </c>
      <c r="E50" s="10">
        <v>2</v>
      </c>
      <c r="F50" s="10">
        <f t="shared" si="2"/>
        <v>1.891</v>
      </c>
      <c r="G50" s="29">
        <v>18.614</v>
      </c>
      <c r="H50" s="29">
        <v>0</v>
      </c>
      <c r="I50" s="29">
        <f t="shared" si="1"/>
        <v>18.614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1.5">
      <c r="A51" s="4" t="s">
        <v>126</v>
      </c>
      <c r="B51" s="8" t="s">
        <v>96</v>
      </c>
      <c r="C51" s="8" t="s">
        <v>95</v>
      </c>
      <c r="D51" s="11" t="s">
        <v>189</v>
      </c>
      <c r="E51" s="12"/>
      <c r="F51" s="10"/>
      <c r="G51" s="29">
        <v>44.015</v>
      </c>
      <c r="H51" s="29">
        <f>0.0056*744</f>
        <v>4.1664</v>
      </c>
      <c r="I51" s="29">
        <f t="shared" si="1"/>
        <v>48.181400000000004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1.5">
      <c r="A52" s="4" t="s">
        <v>127</v>
      </c>
      <c r="B52" s="8" t="s">
        <v>160</v>
      </c>
      <c r="C52" s="8" t="s">
        <v>102</v>
      </c>
      <c r="D52" s="10">
        <v>0.121</v>
      </c>
      <c r="E52" s="10">
        <v>3</v>
      </c>
      <c r="F52" s="10">
        <f t="shared" si="2"/>
        <v>2.879</v>
      </c>
      <c r="G52" s="29">
        <v>19.12</v>
      </c>
      <c r="H52" s="29">
        <v>0</v>
      </c>
      <c r="I52" s="29">
        <f t="shared" si="1"/>
        <v>19.12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128</v>
      </c>
      <c r="B53" s="8" t="s">
        <v>92</v>
      </c>
      <c r="C53" s="8" t="s">
        <v>91</v>
      </c>
      <c r="D53" s="10">
        <v>0.235</v>
      </c>
      <c r="E53" s="10">
        <v>3</v>
      </c>
      <c r="F53" s="10">
        <f t="shared" si="2"/>
        <v>2.765</v>
      </c>
      <c r="G53" s="29">
        <v>45.523</v>
      </c>
      <c r="H53" s="29">
        <f>0.0015*744</f>
        <v>1.116</v>
      </c>
      <c r="I53" s="29">
        <f t="shared" si="1"/>
        <v>46.639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10" ht="15.75">
      <c r="A54" s="4" t="s">
        <v>129</v>
      </c>
      <c r="B54" s="5" t="s">
        <v>117</v>
      </c>
      <c r="C54" s="5" t="s">
        <v>116</v>
      </c>
      <c r="D54" s="5">
        <v>0.107</v>
      </c>
      <c r="E54" s="5">
        <v>2</v>
      </c>
      <c r="F54" s="10">
        <f t="shared" si="2"/>
        <v>1.893</v>
      </c>
      <c r="G54" s="30">
        <v>28.998</v>
      </c>
      <c r="H54" s="30">
        <f>0.0017*744</f>
        <v>1.2648</v>
      </c>
      <c r="I54" s="29">
        <f t="shared" si="1"/>
        <v>30.262800000000002</v>
      </c>
      <c r="J54" s="3"/>
    </row>
    <row r="55" spans="1:10" ht="15.75">
      <c r="A55" s="4" t="s">
        <v>130</v>
      </c>
      <c r="B55" s="5" t="s">
        <v>121</v>
      </c>
      <c r="C55" s="5" t="s">
        <v>120</v>
      </c>
      <c r="D55" s="5">
        <v>0.124</v>
      </c>
      <c r="E55" s="5">
        <v>3</v>
      </c>
      <c r="F55" s="10">
        <f t="shared" si="2"/>
        <v>2.876</v>
      </c>
      <c r="G55" s="30">
        <v>23.093</v>
      </c>
      <c r="H55" s="30">
        <v>0</v>
      </c>
      <c r="I55" s="29">
        <f t="shared" si="1"/>
        <v>23.093</v>
      </c>
      <c r="J55" s="3"/>
    </row>
    <row r="56" spans="1:23" ht="47.25">
      <c r="A56" s="4" t="s">
        <v>169</v>
      </c>
      <c r="B56" s="8" t="s">
        <v>90</v>
      </c>
      <c r="C56" s="8" t="s">
        <v>89</v>
      </c>
      <c r="D56" s="10">
        <v>1.57</v>
      </c>
      <c r="E56" s="10">
        <v>10</v>
      </c>
      <c r="F56" s="10">
        <f t="shared" si="2"/>
        <v>8.43</v>
      </c>
      <c r="G56" s="29">
        <v>319.148</v>
      </c>
      <c r="H56" s="29">
        <v>0</v>
      </c>
      <c r="I56" s="29">
        <f t="shared" si="1"/>
        <v>319.148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A57" s="4" t="s">
        <v>174</v>
      </c>
      <c r="B57" s="8" t="s">
        <v>88</v>
      </c>
      <c r="C57" s="8" t="s">
        <v>87</v>
      </c>
      <c r="D57" s="10">
        <v>0.19</v>
      </c>
      <c r="E57" s="10">
        <v>2</v>
      </c>
      <c r="F57" s="10">
        <f t="shared" si="2"/>
        <v>1.81</v>
      </c>
      <c r="G57" s="29">
        <v>46.334</v>
      </c>
      <c r="H57" s="29">
        <v>0</v>
      </c>
      <c r="I57" s="29">
        <f t="shared" si="1"/>
        <v>46.334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A58" s="4" t="s">
        <v>177</v>
      </c>
      <c r="B58" s="8" t="s">
        <v>56</v>
      </c>
      <c r="C58" s="8" t="s">
        <v>55</v>
      </c>
      <c r="D58" s="10">
        <v>0.19</v>
      </c>
      <c r="E58" s="10">
        <v>2</v>
      </c>
      <c r="F58" s="10">
        <f t="shared" si="2"/>
        <v>1.81</v>
      </c>
      <c r="G58" s="29">
        <v>39.81</v>
      </c>
      <c r="H58" s="29">
        <v>0</v>
      </c>
      <c r="I58" s="29">
        <f t="shared" si="1"/>
        <v>39.81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10" ht="15.75">
      <c r="A59" s="4" t="s">
        <v>186</v>
      </c>
      <c r="B59" s="5" t="s">
        <v>119</v>
      </c>
      <c r="C59" s="5" t="s">
        <v>118</v>
      </c>
      <c r="D59" s="5">
        <v>0.086</v>
      </c>
      <c r="E59" s="5">
        <v>2</v>
      </c>
      <c r="F59" s="10">
        <f t="shared" si="2"/>
        <v>1.914</v>
      </c>
      <c r="G59" s="30">
        <v>14.733</v>
      </c>
      <c r="H59" s="30">
        <v>0</v>
      </c>
      <c r="I59" s="29">
        <f t="shared" si="1"/>
        <v>14.733</v>
      </c>
      <c r="J59" s="3"/>
    </row>
    <row r="60" spans="1:10" ht="15.75">
      <c r="A60" s="4" t="s">
        <v>187</v>
      </c>
      <c r="B60" s="5" t="s">
        <v>170</v>
      </c>
      <c r="C60" s="5" t="s">
        <v>171</v>
      </c>
      <c r="D60" s="5">
        <v>12.59</v>
      </c>
      <c r="E60" s="5">
        <v>50</v>
      </c>
      <c r="F60" s="10">
        <f t="shared" si="2"/>
        <v>37.41</v>
      </c>
      <c r="G60" s="29">
        <v>0.591</v>
      </c>
      <c r="H60" s="30">
        <v>2.697</v>
      </c>
      <c r="I60" s="29">
        <f t="shared" si="1"/>
        <v>3.2880000000000003</v>
      </c>
      <c r="J60" s="3"/>
    </row>
    <row r="61" spans="1:10" ht="15.75">
      <c r="A61" s="13" t="s">
        <v>151</v>
      </c>
      <c r="B61" s="14"/>
      <c r="C61" s="15"/>
      <c r="D61" s="6"/>
      <c r="E61" s="6"/>
      <c r="F61" s="6"/>
      <c r="G61" s="31">
        <f>SUM(G5:G60)</f>
        <v>57401.19200000003</v>
      </c>
      <c r="H61" s="31">
        <f>SUM(H5:H60)</f>
        <v>4145.9098</v>
      </c>
      <c r="I61" s="31">
        <f>SUM(I5:I60)</f>
        <v>61547.1018</v>
      </c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.7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.7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.7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.7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.75">
      <c r="B326" s="3"/>
      <c r="C326" s="3"/>
      <c r="D326" s="3"/>
      <c r="E326" s="3"/>
      <c r="F326" s="3"/>
      <c r="G326" s="3"/>
      <c r="H326" s="3"/>
      <c r="I326" s="3"/>
      <c r="J326" s="3"/>
    </row>
  </sheetData>
  <sheetProtection/>
  <mergeCells count="8">
    <mergeCell ref="A61:C61"/>
    <mergeCell ref="D51:E51"/>
    <mergeCell ref="D3:F3"/>
    <mergeCell ref="A2:I2"/>
    <mergeCell ref="A3:A4"/>
    <mergeCell ref="B3:B4"/>
    <mergeCell ref="C3:C4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6"/>
  <sheetViews>
    <sheetView view="pageBreakPreview" zoomScaleSheetLayoutView="100" zoomScalePageLayoutView="0" workbookViewId="0" topLeftCell="A1">
      <pane ySplit="4" topLeftCell="A40" activePane="bottomLeft" state="frozen"/>
      <selection pane="topLeft" activeCell="A1" sqref="A1"/>
      <selection pane="bottomLeft" activeCell="G3" sqref="G3:I61"/>
    </sheetView>
  </sheetViews>
  <sheetFormatPr defaultColWidth="9.140625" defaultRowHeight="15"/>
  <cols>
    <col min="1" max="1" width="6.140625" style="0" customWidth="1"/>
    <col min="2" max="2" width="20.710937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14062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7" t="s">
        <v>152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16" t="s">
        <v>167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7" t="s">
        <v>2</v>
      </c>
      <c r="B3" s="17" t="s">
        <v>1</v>
      </c>
      <c r="C3" s="17" t="s">
        <v>8</v>
      </c>
      <c r="D3" s="18" t="s">
        <v>0</v>
      </c>
      <c r="E3" s="19"/>
      <c r="F3" s="20"/>
      <c r="G3" s="27" t="s">
        <v>3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17"/>
      <c r="B4" s="17"/>
      <c r="C4" s="17"/>
      <c r="D4" s="8" t="s">
        <v>162</v>
      </c>
      <c r="E4" s="8" t="s">
        <v>153</v>
      </c>
      <c r="F4" s="8" t="s">
        <v>163</v>
      </c>
      <c r="G4" s="28" t="s">
        <v>4</v>
      </c>
      <c r="H4" s="28" t="s">
        <v>5</v>
      </c>
      <c r="I4" s="28" t="s">
        <v>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8" t="s">
        <v>7</v>
      </c>
      <c r="C5" s="8" t="s">
        <v>19</v>
      </c>
      <c r="D5" s="22">
        <v>198.91666666666666</v>
      </c>
      <c r="E5" s="25">
        <v>235</v>
      </c>
      <c r="F5" s="22">
        <f>E5-D5</f>
        <v>36.08333333333334</v>
      </c>
      <c r="G5" s="29">
        <v>70460.388</v>
      </c>
      <c r="H5" s="29">
        <v>4764.341</v>
      </c>
      <c r="I5" s="29">
        <f>G5+H5</f>
        <v>75224.729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10</v>
      </c>
      <c r="B6" s="10" t="s">
        <v>178</v>
      </c>
      <c r="C6" s="10" t="s">
        <v>179</v>
      </c>
      <c r="D6" s="24">
        <v>0</v>
      </c>
      <c r="E6" s="25">
        <v>120</v>
      </c>
      <c r="F6" s="22">
        <f aca="true" t="shared" si="0" ref="F6:F20">E6-D6</f>
        <v>120</v>
      </c>
      <c r="G6" s="29" t="s">
        <v>188</v>
      </c>
      <c r="H6" s="29"/>
      <c r="I6" s="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4" t="s">
        <v>13</v>
      </c>
      <c r="B7" s="8" t="s">
        <v>101</v>
      </c>
      <c r="C7" s="8" t="s">
        <v>100</v>
      </c>
      <c r="D7" s="22">
        <v>1.4504166666666667</v>
      </c>
      <c r="E7" s="25">
        <v>10</v>
      </c>
      <c r="F7" s="22">
        <f t="shared" si="0"/>
        <v>8.549583333333333</v>
      </c>
      <c r="G7" s="29">
        <v>225.857</v>
      </c>
      <c r="H7" s="29">
        <v>3.6</v>
      </c>
      <c r="I7" s="29">
        <f aca="true" t="shared" si="1" ref="I7:I60">G7+H7</f>
        <v>229.457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7.25">
      <c r="A8" s="4" t="s">
        <v>17</v>
      </c>
      <c r="B8" s="8" t="s">
        <v>24</v>
      </c>
      <c r="C8" s="8" t="s">
        <v>22</v>
      </c>
      <c r="D8" s="22">
        <v>5.890416666666667</v>
      </c>
      <c r="E8" s="25">
        <v>10</v>
      </c>
      <c r="F8" s="22">
        <f t="shared" si="0"/>
        <v>4.109583333333333</v>
      </c>
      <c r="G8" s="29">
        <v>1081.558</v>
      </c>
      <c r="H8" s="29">
        <v>1656.6336000000001</v>
      </c>
      <c r="I8" s="29">
        <f t="shared" si="1"/>
        <v>2738.1916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1.5">
      <c r="A9" s="4" t="s">
        <v>21</v>
      </c>
      <c r="B9" s="8" t="s">
        <v>11</v>
      </c>
      <c r="C9" s="8" t="s">
        <v>9</v>
      </c>
      <c r="D9" s="10">
        <v>5.66</v>
      </c>
      <c r="E9" s="10">
        <v>10</v>
      </c>
      <c r="F9" s="22">
        <f t="shared" si="0"/>
        <v>4.34</v>
      </c>
      <c r="G9" s="29">
        <v>788.494</v>
      </c>
      <c r="H9" s="29">
        <f>0.1719*720</f>
        <v>123.768</v>
      </c>
      <c r="I9" s="29">
        <f t="shared" si="1"/>
        <v>912.2620000000001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0" ht="15.75">
      <c r="A10" s="4" t="s">
        <v>23</v>
      </c>
      <c r="B10" s="5" t="s">
        <v>136</v>
      </c>
      <c r="C10" s="5" t="s">
        <v>135</v>
      </c>
      <c r="D10" s="5">
        <v>0.61</v>
      </c>
      <c r="E10" s="5">
        <v>2</v>
      </c>
      <c r="F10" s="22">
        <f t="shared" si="0"/>
        <v>1.3900000000000001</v>
      </c>
      <c r="G10" s="29">
        <v>73.172</v>
      </c>
      <c r="H10" s="30">
        <f>0.0045*720</f>
        <v>3.2399999999999998</v>
      </c>
      <c r="I10" s="29">
        <f t="shared" si="1"/>
        <v>76.41199999999999</v>
      </c>
      <c r="J10" s="3"/>
    </row>
    <row r="11" spans="1:23" ht="31.5">
      <c r="A11" s="4" t="s">
        <v>25</v>
      </c>
      <c r="B11" s="8" t="s">
        <v>16</v>
      </c>
      <c r="C11" s="8" t="s">
        <v>18</v>
      </c>
      <c r="D11" s="10">
        <v>3.54</v>
      </c>
      <c r="E11" s="10">
        <v>5</v>
      </c>
      <c r="F11" s="23">
        <f t="shared" si="0"/>
        <v>1.46</v>
      </c>
      <c r="G11" s="29">
        <v>754.23</v>
      </c>
      <c r="H11" s="29">
        <f>0.0736*720</f>
        <v>52.992</v>
      </c>
      <c r="I11" s="29">
        <f t="shared" si="1"/>
        <v>807.222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0" ht="15.75">
      <c r="A12" s="4" t="s">
        <v>26</v>
      </c>
      <c r="B12" s="5" t="s">
        <v>138</v>
      </c>
      <c r="C12" s="5" t="s">
        <v>137</v>
      </c>
      <c r="D12" s="5">
        <v>0.17</v>
      </c>
      <c r="E12" s="5">
        <v>1</v>
      </c>
      <c r="F12" s="23">
        <f t="shared" si="0"/>
        <v>0.83</v>
      </c>
      <c r="G12" s="29">
        <v>0.557</v>
      </c>
      <c r="H12" s="30">
        <v>0</v>
      </c>
      <c r="I12" s="29">
        <f t="shared" si="1"/>
        <v>0.557</v>
      </c>
      <c r="J12" s="3"/>
    </row>
    <row r="13" spans="1:23" ht="15.75">
      <c r="A13" s="4" t="s">
        <v>27</v>
      </c>
      <c r="B13" s="8" t="s">
        <v>105</v>
      </c>
      <c r="C13" s="8" t="s">
        <v>104</v>
      </c>
      <c r="D13" s="10">
        <v>1.44</v>
      </c>
      <c r="E13" s="10">
        <v>5</v>
      </c>
      <c r="F13" s="23">
        <f t="shared" si="0"/>
        <v>3.56</v>
      </c>
      <c r="G13" s="29">
        <v>192.705</v>
      </c>
      <c r="H13" s="29">
        <f>0.017*720</f>
        <v>12.24</v>
      </c>
      <c r="I13" s="29">
        <f t="shared" si="1"/>
        <v>204.94500000000002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>
      <c r="A14" s="4" t="s">
        <v>28</v>
      </c>
      <c r="B14" s="8" t="s">
        <v>52</v>
      </c>
      <c r="C14" s="8" t="s">
        <v>145</v>
      </c>
      <c r="D14" s="10">
        <v>0.64</v>
      </c>
      <c r="E14" s="10">
        <v>2</v>
      </c>
      <c r="F14" s="23">
        <f t="shared" si="0"/>
        <v>1.3599999999999999</v>
      </c>
      <c r="G14" s="29">
        <v>96.569</v>
      </c>
      <c r="H14" s="29">
        <f>0.012*720</f>
        <v>8.64</v>
      </c>
      <c r="I14" s="29">
        <f t="shared" si="1"/>
        <v>105.209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1.5">
      <c r="A15" s="4" t="s">
        <v>29</v>
      </c>
      <c r="B15" s="8" t="s">
        <v>146</v>
      </c>
      <c r="C15" s="8" t="s">
        <v>147</v>
      </c>
      <c r="D15" s="10">
        <v>1.24</v>
      </c>
      <c r="E15" s="10">
        <v>2.5</v>
      </c>
      <c r="F15" s="23">
        <f t="shared" si="0"/>
        <v>1.26</v>
      </c>
      <c r="G15" s="29">
        <v>253.071</v>
      </c>
      <c r="H15" s="29">
        <f>0.0155*720</f>
        <v>11.16</v>
      </c>
      <c r="I15" s="29">
        <f t="shared" si="1"/>
        <v>264.231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30</v>
      </c>
      <c r="B16" s="8" t="s">
        <v>148</v>
      </c>
      <c r="C16" s="8" t="s">
        <v>149</v>
      </c>
      <c r="D16" s="10">
        <v>0.06</v>
      </c>
      <c r="E16" s="10">
        <v>1</v>
      </c>
      <c r="F16" s="23">
        <f t="shared" si="0"/>
        <v>0.94</v>
      </c>
      <c r="G16" s="29">
        <v>5.888</v>
      </c>
      <c r="H16" s="29">
        <v>0</v>
      </c>
      <c r="I16" s="29">
        <f t="shared" si="1"/>
        <v>5.888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31</v>
      </c>
      <c r="B17" s="9" t="s">
        <v>175</v>
      </c>
      <c r="C17" s="9" t="s">
        <v>176</v>
      </c>
      <c r="D17" s="23">
        <v>0.7</v>
      </c>
      <c r="E17" s="10">
        <v>1</v>
      </c>
      <c r="F17" s="23">
        <f t="shared" si="0"/>
        <v>0.30000000000000004</v>
      </c>
      <c r="G17" s="29">
        <v>21.103</v>
      </c>
      <c r="H17" s="29">
        <v>0</v>
      </c>
      <c r="I17" s="29">
        <f t="shared" si="1"/>
        <v>21.103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4" t="s">
        <v>32</v>
      </c>
      <c r="B18" s="8" t="s">
        <v>98</v>
      </c>
      <c r="C18" s="8" t="s">
        <v>97</v>
      </c>
      <c r="D18" s="10">
        <v>3.9</v>
      </c>
      <c r="E18" s="10">
        <v>20</v>
      </c>
      <c r="F18" s="23">
        <f t="shared" si="0"/>
        <v>16.1</v>
      </c>
      <c r="G18" s="29">
        <v>695.495</v>
      </c>
      <c r="H18" s="29">
        <f>0.04*720</f>
        <v>28.8</v>
      </c>
      <c r="I18" s="29">
        <f t="shared" si="1"/>
        <v>724.295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>
      <c r="A19" s="4" t="s">
        <v>33</v>
      </c>
      <c r="B19" s="10" t="s">
        <v>182</v>
      </c>
      <c r="C19" s="10" t="s">
        <v>184</v>
      </c>
      <c r="D19" s="10">
        <v>0</v>
      </c>
      <c r="E19" s="10">
        <v>5</v>
      </c>
      <c r="F19" s="23">
        <f t="shared" si="0"/>
        <v>5</v>
      </c>
      <c r="G19" s="29" t="s">
        <v>188</v>
      </c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4" t="s">
        <v>34</v>
      </c>
      <c r="B20" s="10" t="s">
        <v>183</v>
      </c>
      <c r="C20" s="10" t="s">
        <v>185</v>
      </c>
      <c r="D20" s="10">
        <v>0.07</v>
      </c>
      <c r="E20" s="10">
        <v>1</v>
      </c>
      <c r="F20" s="22">
        <f t="shared" si="0"/>
        <v>0.9299999999999999</v>
      </c>
      <c r="G20" s="29" t="s">
        <v>188</v>
      </c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78.75">
      <c r="A21" s="4" t="s">
        <v>35</v>
      </c>
      <c r="B21" s="8" t="s">
        <v>161</v>
      </c>
      <c r="C21" s="8" t="s">
        <v>20</v>
      </c>
      <c r="D21" s="22">
        <v>22.846666666666668</v>
      </c>
      <c r="E21" s="24">
        <v>43</v>
      </c>
      <c r="F21" s="22">
        <f>E21-D21</f>
        <v>20.153333333333332</v>
      </c>
      <c r="G21" s="29">
        <v>8753.977</v>
      </c>
      <c r="H21" s="29">
        <v>21.6</v>
      </c>
      <c r="I21" s="29">
        <f t="shared" si="1"/>
        <v>8775.577000000001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7.25">
      <c r="A22" s="4" t="s">
        <v>36</v>
      </c>
      <c r="B22" s="8" t="s">
        <v>107</v>
      </c>
      <c r="C22" s="8" t="s">
        <v>106</v>
      </c>
      <c r="D22" s="22">
        <v>2.607083333333333</v>
      </c>
      <c r="E22" s="24">
        <v>20</v>
      </c>
      <c r="F22" s="22">
        <f>E22-D22</f>
        <v>17.392916666666668</v>
      </c>
      <c r="G22" s="29">
        <v>412.209</v>
      </c>
      <c r="H22" s="29">
        <v>21.6</v>
      </c>
      <c r="I22" s="29">
        <f t="shared" si="1"/>
        <v>433.809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0" ht="15.75">
      <c r="A23" s="4" t="s">
        <v>37</v>
      </c>
      <c r="B23" s="5" t="s">
        <v>140</v>
      </c>
      <c r="C23" s="5" t="s">
        <v>139</v>
      </c>
      <c r="D23" s="26">
        <v>0.5629166666666666</v>
      </c>
      <c r="E23" s="5">
        <v>2</v>
      </c>
      <c r="F23" s="22">
        <f aca="true" t="shared" si="2" ref="F23:F60">E23-D23</f>
        <v>1.4370833333333333</v>
      </c>
      <c r="G23" s="29">
        <v>137.739</v>
      </c>
      <c r="H23" s="30">
        <v>7.2</v>
      </c>
      <c r="I23" s="29">
        <f t="shared" si="1"/>
        <v>144.939</v>
      </c>
      <c r="J23" s="3"/>
    </row>
    <row r="24" spans="1:23" ht="31.5" customHeight="1">
      <c r="A24" s="4" t="s">
        <v>38</v>
      </c>
      <c r="B24" s="8" t="s">
        <v>94</v>
      </c>
      <c r="C24" s="5" t="s">
        <v>93</v>
      </c>
      <c r="D24" s="22">
        <v>0.8370833333333333</v>
      </c>
      <c r="E24" s="10">
        <v>2</v>
      </c>
      <c r="F24" s="22">
        <f t="shared" si="2"/>
        <v>1.1629166666666668</v>
      </c>
      <c r="G24" s="29">
        <v>137.687</v>
      </c>
      <c r="H24" s="29">
        <v>0</v>
      </c>
      <c r="I24" s="29">
        <f t="shared" si="1"/>
        <v>137.687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94.5">
      <c r="A25" s="4" t="s">
        <v>39</v>
      </c>
      <c r="B25" s="8" t="s">
        <v>14</v>
      </c>
      <c r="C25" s="8" t="s">
        <v>12</v>
      </c>
      <c r="D25" s="10">
        <v>11.26</v>
      </c>
      <c r="E25" s="10">
        <v>20</v>
      </c>
      <c r="F25" s="10">
        <f t="shared" si="2"/>
        <v>8.74</v>
      </c>
      <c r="G25" s="29">
        <v>1891.13</v>
      </c>
      <c r="H25" s="29">
        <f>0.1176*720</f>
        <v>84.672</v>
      </c>
      <c r="I25" s="29">
        <f t="shared" si="1"/>
        <v>1975.8020000000001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1.5">
      <c r="A26" s="4" t="s">
        <v>40</v>
      </c>
      <c r="B26" s="8" t="s">
        <v>108</v>
      </c>
      <c r="C26" s="8" t="s">
        <v>109</v>
      </c>
      <c r="D26" s="23">
        <v>0.8</v>
      </c>
      <c r="E26" s="10">
        <v>2</v>
      </c>
      <c r="F26" s="10">
        <f t="shared" si="2"/>
        <v>1.2</v>
      </c>
      <c r="G26" s="29">
        <v>106.968</v>
      </c>
      <c r="H26" s="29">
        <f>0.015*720</f>
        <v>10.799999999999999</v>
      </c>
      <c r="I26" s="29">
        <f t="shared" si="1"/>
        <v>117.768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0" ht="15.75">
      <c r="A27" s="4" t="s">
        <v>41</v>
      </c>
      <c r="B27" s="5" t="s">
        <v>142</v>
      </c>
      <c r="C27" s="5" t="s">
        <v>141</v>
      </c>
      <c r="D27" s="5">
        <v>0.21</v>
      </c>
      <c r="E27" s="5">
        <v>1</v>
      </c>
      <c r="F27" s="10">
        <f t="shared" si="2"/>
        <v>0.79</v>
      </c>
      <c r="G27" s="29">
        <v>38.986</v>
      </c>
      <c r="H27" s="30">
        <v>0</v>
      </c>
      <c r="I27" s="29">
        <f t="shared" si="1"/>
        <v>38.986</v>
      </c>
      <c r="J27" s="3"/>
    </row>
    <row r="28" spans="1:10" ht="15.75">
      <c r="A28" s="4" t="s">
        <v>42</v>
      </c>
      <c r="B28" s="5" t="s">
        <v>113</v>
      </c>
      <c r="C28" s="5" t="s">
        <v>112</v>
      </c>
      <c r="D28" s="5">
        <v>0.13</v>
      </c>
      <c r="E28" s="5">
        <v>2</v>
      </c>
      <c r="F28" s="10">
        <f t="shared" si="2"/>
        <v>1.87</v>
      </c>
      <c r="G28" s="29">
        <v>18.088</v>
      </c>
      <c r="H28" s="30">
        <v>0</v>
      </c>
      <c r="I28" s="29">
        <f t="shared" si="1"/>
        <v>18.088</v>
      </c>
      <c r="J28" s="3"/>
    </row>
    <row r="29" spans="1:10" ht="15.75">
      <c r="A29" s="4" t="s">
        <v>43</v>
      </c>
      <c r="B29" s="5" t="s">
        <v>114</v>
      </c>
      <c r="C29" s="5" t="s">
        <v>115</v>
      </c>
      <c r="D29" s="5">
        <v>0.75</v>
      </c>
      <c r="E29" s="5">
        <v>2</v>
      </c>
      <c r="F29" s="10">
        <f t="shared" si="2"/>
        <v>1.25</v>
      </c>
      <c r="G29" s="29">
        <v>94.366</v>
      </c>
      <c r="H29" s="30">
        <f>0.01*720</f>
        <v>7.2</v>
      </c>
      <c r="I29" s="29">
        <f t="shared" si="1"/>
        <v>101.566</v>
      </c>
      <c r="J29" s="3"/>
    </row>
    <row r="30" spans="1:23" ht="15.75">
      <c r="A30" s="4" t="s">
        <v>44</v>
      </c>
      <c r="B30" s="8" t="s">
        <v>154</v>
      </c>
      <c r="C30" s="8" t="s">
        <v>155</v>
      </c>
      <c r="D30" s="10">
        <v>0.26</v>
      </c>
      <c r="E30" s="10">
        <v>2</v>
      </c>
      <c r="F30" s="10">
        <f t="shared" si="2"/>
        <v>1.74</v>
      </c>
      <c r="G30" s="29">
        <v>63.97</v>
      </c>
      <c r="H30" s="29">
        <v>0</v>
      </c>
      <c r="I30" s="29">
        <f t="shared" si="1"/>
        <v>63.97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45</v>
      </c>
      <c r="B31" s="8" t="s">
        <v>156</v>
      </c>
      <c r="C31" s="8" t="s">
        <v>157</v>
      </c>
      <c r="D31" s="10">
        <v>0.17</v>
      </c>
      <c r="E31" s="10">
        <v>10</v>
      </c>
      <c r="F31" s="10">
        <f t="shared" si="2"/>
        <v>9.83</v>
      </c>
      <c r="G31" s="29">
        <v>17.043</v>
      </c>
      <c r="H31" s="29">
        <v>0</v>
      </c>
      <c r="I31" s="29">
        <f t="shared" si="1"/>
        <v>17.043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69</v>
      </c>
      <c r="B32" s="9" t="s">
        <v>172</v>
      </c>
      <c r="C32" s="9" t="s">
        <v>173</v>
      </c>
      <c r="D32" s="23">
        <v>0.1</v>
      </c>
      <c r="E32" s="10">
        <v>1</v>
      </c>
      <c r="F32" s="10">
        <f t="shared" si="2"/>
        <v>0.9</v>
      </c>
      <c r="G32" s="29">
        <v>8.266</v>
      </c>
      <c r="H32" s="29">
        <v>0</v>
      </c>
      <c r="I32" s="29">
        <f t="shared" si="1"/>
        <v>8.266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4" t="s">
        <v>70</v>
      </c>
      <c r="B33" s="8" t="s">
        <v>47</v>
      </c>
      <c r="C33" s="8" t="s">
        <v>46</v>
      </c>
      <c r="D33" s="10">
        <v>0.37</v>
      </c>
      <c r="E33" s="10">
        <v>2</v>
      </c>
      <c r="F33" s="10">
        <f t="shared" si="2"/>
        <v>1.63</v>
      </c>
      <c r="G33" s="29">
        <v>205.289</v>
      </c>
      <c r="H33" s="29">
        <v>0</v>
      </c>
      <c r="I33" s="29">
        <f t="shared" si="1"/>
        <v>205.289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71</v>
      </c>
      <c r="B34" s="8" t="s">
        <v>111</v>
      </c>
      <c r="C34" s="8" t="s">
        <v>110</v>
      </c>
      <c r="D34" s="10">
        <v>0.28</v>
      </c>
      <c r="E34" s="10">
        <v>1</v>
      </c>
      <c r="F34" s="10">
        <f t="shared" si="2"/>
        <v>0.72</v>
      </c>
      <c r="G34" s="29">
        <v>56.23</v>
      </c>
      <c r="H34" s="29">
        <v>0</v>
      </c>
      <c r="I34" s="29">
        <f t="shared" si="1"/>
        <v>56.23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>
      <c r="A35" s="4" t="s">
        <v>72</v>
      </c>
      <c r="B35" s="8" t="s">
        <v>68</v>
      </c>
      <c r="C35" s="8" t="s">
        <v>67</v>
      </c>
      <c r="D35" s="10">
        <v>2.07</v>
      </c>
      <c r="E35" s="10">
        <v>5</v>
      </c>
      <c r="F35" s="10">
        <f t="shared" si="2"/>
        <v>2.93</v>
      </c>
      <c r="G35" s="29">
        <v>709.632</v>
      </c>
      <c r="H35" s="29">
        <f>0.02*720</f>
        <v>14.4</v>
      </c>
      <c r="I35" s="29">
        <f t="shared" si="1"/>
        <v>724.0319999999999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4" t="s">
        <v>73</v>
      </c>
      <c r="B36" s="8" t="s">
        <v>103</v>
      </c>
      <c r="C36" s="8" t="s">
        <v>150</v>
      </c>
      <c r="D36" s="10">
        <v>0.66</v>
      </c>
      <c r="E36" s="10">
        <v>10</v>
      </c>
      <c r="F36" s="10">
        <f t="shared" si="2"/>
        <v>9.34</v>
      </c>
      <c r="G36" s="29">
        <v>87.04</v>
      </c>
      <c r="H36" s="29">
        <v>0</v>
      </c>
      <c r="I36" s="29">
        <f t="shared" si="1"/>
        <v>87.04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4" t="s">
        <v>74</v>
      </c>
      <c r="B37" s="8" t="s">
        <v>143</v>
      </c>
      <c r="C37" s="8" t="s">
        <v>144</v>
      </c>
      <c r="D37" s="10">
        <v>0.25</v>
      </c>
      <c r="E37" s="10">
        <v>1</v>
      </c>
      <c r="F37" s="10">
        <f t="shared" si="2"/>
        <v>0.75</v>
      </c>
      <c r="G37" s="29">
        <v>33.556</v>
      </c>
      <c r="H37" s="29">
        <v>0</v>
      </c>
      <c r="I37" s="29">
        <f t="shared" si="1"/>
        <v>33.556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75</v>
      </c>
      <c r="B38" s="8" t="s">
        <v>158</v>
      </c>
      <c r="C38" s="8" t="s">
        <v>159</v>
      </c>
      <c r="D38" s="10">
        <v>0.37</v>
      </c>
      <c r="E38" s="10">
        <v>1</v>
      </c>
      <c r="F38" s="10">
        <f t="shared" si="2"/>
        <v>0.63</v>
      </c>
      <c r="G38" s="29">
        <v>55.181</v>
      </c>
      <c r="H38" s="29">
        <f>0.01*720</f>
        <v>7.2</v>
      </c>
      <c r="I38" s="29">
        <f t="shared" si="1"/>
        <v>62.381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10" ht="15.75">
      <c r="A39" s="4" t="s">
        <v>76</v>
      </c>
      <c r="B39" s="5" t="s">
        <v>132</v>
      </c>
      <c r="C39" s="5" t="s">
        <v>131</v>
      </c>
      <c r="D39" s="5">
        <v>0.2</v>
      </c>
      <c r="E39" s="5">
        <v>1</v>
      </c>
      <c r="F39" s="10">
        <f t="shared" si="2"/>
        <v>0.8</v>
      </c>
      <c r="G39" s="29">
        <v>21.096</v>
      </c>
      <c r="H39" s="30">
        <f>0.015*720</f>
        <v>10.799999999999999</v>
      </c>
      <c r="I39" s="29">
        <f t="shared" si="1"/>
        <v>31.896</v>
      </c>
      <c r="J39" s="3"/>
    </row>
    <row r="40" spans="1:10" ht="15.75">
      <c r="A40" s="4" t="s">
        <v>77</v>
      </c>
      <c r="B40" s="5" t="s">
        <v>134</v>
      </c>
      <c r="C40" s="5" t="s">
        <v>133</v>
      </c>
      <c r="D40" s="5">
        <v>0.38</v>
      </c>
      <c r="E40" s="5">
        <v>1</v>
      </c>
      <c r="F40" s="10">
        <f t="shared" si="2"/>
        <v>0.62</v>
      </c>
      <c r="G40" s="29">
        <v>59.645</v>
      </c>
      <c r="H40" s="30">
        <f>0.015*720</f>
        <v>10.799999999999999</v>
      </c>
      <c r="I40" s="29">
        <f t="shared" si="1"/>
        <v>70.44500000000001</v>
      </c>
      <c r="J40" s="3"/>
    </row>
    <row r="41" spans="1:23" ht="15.75">
      <c r="A41" s="4" t="s">
        <v>78</v>
      </c>
      <c r="B41" s="8" t="s">
        <v>54</v>
      </c>
      <c r="C41" s="8" t="s">
        <v>53</v>
      </c>
      <c r="D41" s="10">
        <v>0.344</v>
      </c>
      <c r="E41" s="10">
        <v>2</v>
      </c>
      <c r="F41" s="10">
        <f t="shared" si="2"/>
        <v>1.6560000000000001</v>
      </c>
      <c r="G41" s="29">
        <v>131.248</v>
      </c>
      <c r="H41" s="29">
        <f>0.005*720</f>
        <v>3.6</v>
      </c>
      <c r="I41" s="29">
        <f t="shared" si="1"/>
        <v>134.84799999999998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4" t="s">
        <v>79</v>
      </c>
      <c r="B42" s="8" t="s">
        <v>49</v>
      </c>
      <c r="C42" s="8" t="s">
        <v>48</v>
      </c>
      <c r="D42" s="10">
        <v>0.062</v>
      </c>
      <c r="E42" s="10">
        <v>1</v>
      </c>
      <c r="F42" s="10">
        <f t="shared" si="2"/>
        <v>0.938</v>
      </c>
      <c r="G42" s="29">
        <v>20.7</v>
      </c>
      <c r="H42" s="29">
        <f>0.01*720</f>
        <v>7.2</v>
      </c>
      <c r="I42" s="29">
        <f t="shared" si="1"/>
        <v>27.9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80</v>
      </c>
      <c r="B43" s="8" t="s">
        <v>51</v>
      </c>
      <c r="C43" s="8" t="s">
        <v>50</v>
      </c>
      <c r="D43" s="10">
        <v>0.24</v>
      </c>
      <c r="E43" s="10">
        <v>2</v>
      </c>
      <c r="F43" s="10">
        <f t="shared" si="2"/>
        <v>1.76</v>
      </c>
      <c r="G43" s="29">
        <v>44.714</v>
      </c>
      <c r="H43" s="29">
        <v>0</v>
      </c>
      <c r="I43" s="29">
        <f t="shared" si="1"/>
        <v>44.714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81</v>
      </c>
      <c r="B44" s="8" t="s">
        <v>66</v>
      </c>
      <c r="C44" s="8" t="s">
        <v>65</v>
      </c>
      <c r="D44" s="10">
        <v>2.22</v>
      </c>
      <c r="E44" s="10">
        <v>10</v>
      </c>
      <c r="F44" s="10">
        <f t="shared" si="2"/>
        <v>7.779999999999999</v>
      </c>
      <c r="G44" s="29">
        <v>1411.16</v>
      </c>
      <c r="H44" s="29">
        <f>0.0874*720</f>
        <v>62.928000000000004</v>
      </c>
      <c r="I44" s="29">
        <f t="shared" si="1"/>
        <v>1474.0880000000002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1.5">
      <c r="A45" s="4" t="s">
        <v>82</v>
      </c>
      <c r="B45" s="8" t="s">
        <v>57</v>
      </c>
      <c r="C45" s="8" t="s">
        <v>58</v>
      </c>
      <c r="D45" s="10">
        <v>0.137</v>
      </c>
      <c r="E45" s="10">
        <v>2</v>
      </c>
      <c r="F45" s="10">
        <f t="shared" si="2"/>
        <v>1.863</v>
      </c>
      <c r="G45" s="29">
        <v>47.332</v>
      </c>
      <c r="H45" s="29">
        <v>0</v>
      </c>
      <c r="I45" s="29">
        <f t="shared" si="1"/>
        <v>47.332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4" t="s">
        <v>99</v>
      </c>
      <c r="B46" s="8" t="s">
        <v>60</v>
      </c>
      <c r="C46" s="8" t="s">
        <v>59</v>
      </c>
      <c r="D46" s="10">
        <v>0.166</v>
      </c>
      <c r="E46" s="10">
        <v>2</v>
      </c>
      <c r="F46" s="10">
        <f t="shared" si="2"/>
        <v>1.834</v>
      </c>
      <c r="G46" s="29">
        <v>75.575</v>
      </c>
      <c r="H46" s="29">
        <f>0.008*720</f>
        <v>5.76</v>
      </c>
      <c r="I46" s="29">
        <f t="shared" si="1"/>
        <v>81.33500000000001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4" t="s">
        <v>122</v>
      </c>
      <c r="B47" s="8" t="s">
        <v>62</v>
      </c>
      <c r="C47" s="8" t="s">
        <v>61</v>
      </c>
      <c r="D47" s="10">
        <v>0.26</v>
      </c>
      <c r="E47" s="10">
        <v>5.8</v>
      </c>
      <c r="F47" s="10">
        <f t="shared" si="2"/>
        <v>5.54</v>
      </c>
      <c r="G47" s="29">
        <v>102.795</v>
      </c>
      <c r="H47" s="29">
        <f>0.0042*720</f>
        <v>3.024</v>
      </c>
      <c r="I47" s="29">
        <f t="shared" si="1"/>
        <v>105.819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4" t="s">
        <v>123</v>
      </c>
      <c r="B48" s="8" t="s">
        <v>64</v>
      </c>
      <c r="C48" s="8" t="s">
        <v>63</v>
      </c>
      <c r="D48" s="10">
        <v>0.18</v>
      </c>
      <c r="E48" s="10">
        <v>3</v>
      </c>
      <c r="F48" s="10">
        <f t="shared" si="2"/>
        <v>2.82</v>
      </c>
      <c r="G48" s="29">
        <v>87.082</v>
      </c>
      <c r="H48" s="29">
        <f>0.0052*720</f>
        <v>3.7439999999999998</v>
      </c>
      <c r="I48" s="29">
        <f t="shared" si="1"/>
        <v>90.826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124</v>
      </c>
      <c r="B49" s="8" t="s">
        <v>84</v>
      </c>
      <c r="C49" s="8" t="s">
        <v>83</v>
      </c>
      <c r="D49" s="10">
        <v>0.086</v>
      </c>
      <c r="E49" s="10">
        <v>3</v>
      </c>
      <c r="F49" s="10">
        <f t="shared" si="2"/>
        <v>2.914</v>
      </c>
      <c r="G49" s="29">
        <v>54.75</v>
      </c>
      <c r="H49" s="29">
        <v>0</v>
      </c>
      <c r="I49" s="29">
        <f t="shared" si="1"/>
        <v>54.75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4" t="s">
        <v>125</v>
      </c>
      <c r="B50" s="8" t="s">
        <v>86</v>
      </c>
      <c r="C50" s="8" t="s">
        <v>85</v>
      </c>
      <c r="D50" s="10">
        <v>0.109</v>
      </c>
      <c r="E50" s="10">
        <v>2</v>
      </c>
      <c r="F50" s="10">
        <f t="shared" si="2"/>
        <v>1.891</v>
      </c>
      <c r="G50" s="29">
        <v>42.484</v>
      </c>
      <c r="H50" s="29">
        <v>0</v>
      </c>
      <c r="I50" s="29">
        <f t="shared" si="1"/>
        <v>42.484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1.5" customHeight="1">
      <c r="A51" s="4" t="s">
        <v>126</v>
      </c>
      <c r="B51" s="8" t="s">
        <v>96</v>
      </c>
      <c r="C51" s="8" t="s">
        <v>95</v>
      </c>
      <c r="D51" s="11" t="s">
        <v>189</v>
      </c>
      <c r="E51" s="12"/>
      <c r="F51" s="10"/>
      <c r="G51" s="29">
        <v>481.835</v>
      </c>
      <c r="H51" s="29">
        <f>0.003*720</f>
        <v>2.16</v>
      </c>
      <c r="I51" s="29">
        <f t="shared" si="1"/>
        <v>483.995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1.5">
      <c r="A52" s="4" t="s">
        <v>127</v>
      </c>
      <c r="B52" s="8" t="s">
        <v>160</v>
      </c>
      <c r="C52" s="8" t="s">
        <v>102</v>
      </c>
      <c r="D52" s="10">
        <v>0.121</v>
      </c>
      <c r="E52" s="10">
        <v>3</v>
      </c>
      <c r="F52" s="10">
        <f t="shared" si="2"/>
        <v>2.879</v>
      </c>
      <c r="G52" s="29">
        <v>51.028</v>
      </c>
      <c r="H52" s="29">
        <f>0.004*720</f>
        <v>2.88</v>
      </c>
      <c r="I52" s="29">
        <f t="shared" si="1"/>
        <v>53.908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128</v>
      </c>
      <c r="B53" s="8" t="s">
        <v>92</v>
      </c>
      <c r="C53" s="8" t="s">
        <v>91</v>
      </c>
      <c r="D53" s="10">
        <v>0.235</v>
      </c>
      <c r="E53" s="10">
        <v>3</v>
      </c>
      <c r="F53" s="10">
        <f t="shared" si="2"/>
        <v>2.765</v>
      </c>
      <c r="G53" s="29">
        <v>117.513</v>
      </c>
      <c r="H53" s="29">
        <f>0.006*720</f>
        <v>4.32</v>
      </c>
      <c r="I53" s="29">
        <f t="shared" si="1"/>
        <v>121.833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10" ht="15.75">
      <c r="A54" s="4" t="s">
        <v>129</v>
      </c>
      <c r="B54" s="5" t="s">
        <v>117</v>
      </c>
      <c r="C54" s="5" t="s">
        <v>116</v>
      </c>
      <c r="D54" s="5">
        <v>0.107</v>
      </c>
      <c r="E54" s="5">
        <v>2</v>
      </c>
      <c r="F54" s="10">
        <f t="shared" si="2"/>
        <v>1.893</v>
      </c>
      <c r="G54" s="29">
        <v>59.378</v>
      </c>
      <c r="H54" s="30">
        <f>0.0052*720</f>
        <v>3.7439999999999998</v>
      </c>
      <c r="I54" s="29">
        <f t="shared" si="1"/>
        <v>63.122</v>
      </c>
      <c r="J54" s="3"/>
    </row>
    <row r="55" spans="1:10" ht="15.75">
      <c r="A55" s="4" t="s">
        <v>130</v>
      </c>
      <c r="B55" s="5" t="s">
        <v>121</v>
      </c>
      <c r="C55" s="5" t="s">
        <v>120</v>
      </c>
      <c r="D55" s="5">
        <v>0.124</v>
      </c>
      <c r="E55" s="5">
        <v>3</v>
      </c>
      <c r="F55" s="10">
        <f t="shared" si="2"/>
        <v>2.876</v>
      </c>
      <c r="G55" s="29">
        <v>44.923</v>
      </c>
      <c r="H55" s="30">
        <v>0</v>
      </c>
      <c r="I55" s="29">
        <f t="shared" si="1"/>
        <v>44.923</v>
      </c>
      <c r="J55" s="3"/>
    </row>
    <row r="56" spans="1:23" ht="47.25">
      <c r="A56" s="4" t="s">
        <v>169</v>
      </c>
      <c r="B56" s="8" t="s">
        <v>90</v>
      </c>
      <c r="C56" s="8" t="s">
        <v>89</v>
      </c>
      <c r="D56" s="10">
        <v>1.57</v>
      </c>
      <c r="E56" s="10">
        <v>10</v>
      </c>
      <c r="F56" s="10">
        <f t="shared" si="2"/>
        <v>8.43</v>
      </c>
      <c r="G56" s="29">
        <v>914.307</v>
      </c>
      <c r="H56" s="29">
        <f>0.109*720</f>
        <v>78.48</v>
      </c>
      <c r="I56" s="29">
        <f t="shared" si="1"/>
        <v>992.787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A57" s="4" t="s">
        <v>174</v>
      </c>
      <c r="B57" s="8" t="s">
        <v>88</v>
      </c>
      <c r="C57" s="8" t="s">
        <v>87</v>
      </c>
      <c r="D57" s="10">
        <v>0.19</v>
      </c>
      <c r="E57" s="10">
        <v>2</v>
      </c>
      <c r="F57" s="10">
        <f t="shared" si="2"/>
        <v>1.81</v>
      </c>
      <c r="G57" s="29">
        <v>101.687</v>
      </c>
      <c r="H57" s="29">
        <f>0.015*720</f>
        <v>10.799999999999999</v>
      </c>
      <c r="I57" s="29">
        <f t="shared" si="1"/>
        <v>112.487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A58" s="4" t="s">
        <v>177</v>
      </c>
      <c r="B58" s="8" t="s">
        <v>56</v>
      </c>
      <c r="C58" s="8" t="s">
        <v>55</v>
      </c>
      <c r="D58" s="10">
        <v>0.19</v>
      </c>
      <c r="E58" s="10">
        <v>2</v>
      </c>
      <c r="F58" s="10">
        <f t="shared" si="2"/>
        <v>1.81</v>
      </c>
      <c r="G58" s="29">
        <v>116.901</v>
      </c>
      <c r="H58" s="29">
        <f>0.005*720</f>
        <v>3.6</v>
      </c>
      <c r="I58" s="29">
        <f t="shared" si="1"/>
        <v>120.50099999999999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10" ht="15.75">
      <c r="A59" s="4" t="s">
        <v>186</v>
      </c>
      <c r="B59" s="5" t="s">
        <v>119</v>
      </c>
      <c r="C59" s="5" t="s">
        <v>118</v>
      </c>
      <c r="D59" s="5">
        <v>0.086</v>
      </c>
      <c r="E59" s="5">
        <v>2</v>
      </c>
      <c r="F59" s="10">
        <f t="shared" si="2"/>
        <v>1.914</v>
      </c>
      <c r="G59" s="29">
        <v>42.467</v>
      </c>
      <c r="H59" s="30">
        <f>0.005*720</f>
        <v>3.6</v>
      </c>
      <c r="I59" s="29">
        <f t="shared" si="1"/>
        <v>46.067</v>
      </c>
      <c r="J59" s="3"/>
    </row>
    <row r="60" spans="1:10" ht="15.75">
      <c r="A60" s="4" t="s">
        <v>187</v>
      </c>
      <c r="B60" s="5" t="s">
        <v>170</v>
      </c>
      <c r="C60" s="5" t="s">
        <v>171</v>
      </c>
      <c r="D60" s="5">
        <v>12.59</v>
      </c>
      <c r="E60" s="5">
        <v>50</v>
      </c>
      <c r="F60" s="10">
        <f t="shared" si="2"/>
        <v>37.41</v>
      </c>
      <c r="G60" s="29">
        <v>2.81</v>
      </c>
      <c r="H60" s="30">
        <v>2.692</v>
      </c>
      <c r="I60" s="29">
        <f t="shared" si="1"/>
        <v>5.502000000000001</v>
      </c>
      <c r="J60" s="3"/>
    </row>
    <row r="61" spans="1:10" ht="15.75">
      <c r="A61" s="13" t="s">
        <v>151</v>
      </c>
      <c r="B61" s="14"/>
      <c r="C61" s="15"/>
      <c r="D61" s="6"/>
      <c r="E61" s="6"/>
      <c r="F61" s="6"/>
      <c r="G61" s="31">
        <f>SUM(G5:G60)</f>
        <v>91507.87400000005</v>
      </c>
      <c r="H61" s="31">
        <f>SUM(H5:H60)</f>
        <v>7060.218600000001</v>
      </c>
      <c r="I61" s="31">
        <f>SUM(I5:I60)</f>
        <v>98568.0926</v>
      </c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.7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.7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.7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.7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.75">
      <c r="B326" s="3"/>
      <c r="C326" s="3"/>
      <c r="D326" s="3"/>
      <c r="E326" s="3"/>
      <c r="F326" s="3"/>
      <c r="G326" s="3"/>
      <c r="H326" s="3"/>
      <c r="I326" s="3"/>
      <c r="J326" s="3"/>
    </row>
  </sheetData>
  <sheetProtection/>
  <mergeCells count="8">
    <mergeCell ref="D51:E51"/>
    <mergeCell ref="A61:C61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6"/>
  <sheetViews>
    <sheetView view="pageBreakPreview" zoomScaleSheetLayoutView="100" zoomScalePageLayoutView="0" workbookViewId="0" topLeftCell="A1">
      <pane ySplit="4" topLeftCell="A40" activePane="bottomLeft" state="frozen"/>
      <selection pane="topLeft" activeCell="A1" sqref="A1"/>
      <selection pane="bottomLeft" activeCell="G3" sqref="G3:I61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7" t="s">
        <v>152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16" t="s">
        <v>168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7" t="s">
        <v>2</v>
      </c>
      <c r="B3" s="17" t="s">
        <v>1</v>
      </c>
      <c r="C3" s="17" t="s">
        <v>8</v>
      </c>
      <c r="D3" s="18" t="s">
        <v>0</v>
      </c>
      <c r="E3" s="19"/>
      <c r="F3" s="20"/>
      <c r="G3" s="27" t="s">
        <v>3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17"/>
      <c r="B4" s="17"/>
      <c r="C4" s="17"/>
      <c r="D4" s="8" t="s">
        <v>162</v>
      </c>
      <c r="E4" s="8" t="s">
        <v>153</v>
      </c>
      <c r="F4" s="8" t="s">
        <v>163</v>
      </c>
      <c r="G4" s="28" t="s">
        <v>4</v>
      </c>
      <c r="H4" s="28" t="s">
        <v>5</v>
      </c>
      <c r="I4" s="28" t="s">
        <v>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8" t="s">
        <v>7</v>
      </c>
      <c r="C5" s="8" t="s">
        <v>19</v>
      </c>
      <c r="D5" s="22">
        <v>198.91666666666666</v>
      </c>
      <c r="E5" s="25">
        <v>235</v>
      </c>
      <c r="F5" s="22">
        <f>E5-D5</f>
        <v>36.08333333333334</v>
      </c>
      <c r="G5" s="29">
        <v>166485.866</v>
      </c>
      <c r="H5" s="29">
        <v>14654.521</v>
      </c>
      <c r="I5" s="29">
        <f>G5+H5</f>
        <v>181140.38700000002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10</v>
      </c>
      <c r="B6" s="10" t="s">
        <v>178</v>
      </c>
      <c r="C6" s="10" t="s">
        <v>179</v>
      </c>
      <c r="D6" s="24">
        <v>0</v>
      </c>
      <c r="E6" s="25">
        <v>120</v>
      </c>
      <c r="F6" s="22">
        <f aca="true" t="shared" si="0" ref="F6:F20">E6-D6</f>
        <v>120</v>
      </c>
      <c r="G6" s="29" t="s">
        <v>188</v>
      </c>
      <c r="H6" s="29"/>
      <c r="I6" s="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4" t="s">
        <v>13</v>
      </c>
      <c r="B7" s="8" t="s">
        <v>101</v>
      </c>
      <c r="C7" s="8" t="s">
        <v>100</v>
      </c>
      <c r="D7" s="22">
        <v>1.4504166666666667</v>
      </c>
      <c r="E7" s="25">
        <v>10</v>
      </c>
      <c r="F7" s="22">
        <f t="shared" si="0"/>
        <v>8.549583333333333</v>
      </c>
      <c r="G7" s="29">
        <v>296.037</v>
      </c>
      <c r="H7" s="29">
        <v>18.144</v>
      </c>
      <c r="I7" s="29">
        <f aca="true" t="shared" si="1" ref="I7:I60">G7+H7</f>
        <v>314.181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7.25">
      <c r="A8" s="4" t="s">
        <v>17</v>
      </c>
      <c r="B8" s="8" t="s">
        <v>24</v>
      </c>
      <c r="C8" s="8" t="s">
        <v>22</v>
      </c>
      <c r="D8" s="22">
        <v>5.890416666666667</v>
      </c>
      <c r="E8" s="25">
        <v>10</v>
      </c>
      <c r="F8" s="22">
        <f t="shared" si="0"/>
        <v>4.109583333333333</v>
      </c>
      <c r="G8" s="29">
        <v>1567.764</v>
      </c>
      <c r="H8" s="29">
        <v>5080.343</v>
      </c>
      <c r="I8" s="29">
        <f t="shared" si="1"/>
        <v>6648.107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1.5">
      <c r="A9" s="4" t="s">
        <v>21</v>
      </c>
      <c r="B9" s="8" t="s">
        <v>11</v>
      </c>
      <c r="C9" s="8" t="s">
        <v>9</v>
      </c>
      <c r="D9" s="10">
        <v>5.66</v>
      </c>
      <c r="E9" s="10">
        <v>10</v>
      </c>
      <c r="F9" s="22">
        <f t="shared" si="0"/>
        <v>4.34</v>
      </c>
      <c r="G9" s="29">
        <v>1298.651</v>
      </c>
      <c r="H9" s="29">
        <f>0.2831*2208</f>
        <v>625.0848000000001</v>
      </c>
      <c r="I9" s="29">
        <f t="shared" si="1"/>
        <v>1923.7358000000002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0" ht="15.75">
      <c r="A10" s="4" t="s">
        <v>23</v>
      </c>
      <c r="B10" s="5" t="s">
        <v>136</v>
      </c>
      <c r="C10" s="5" t="s">
        <v>135</v>
      </c>
      <c r="D10" s="5">
        <v>0.61</v>
      </c>
      <c r="E10" s="5">
        <v>2</v>
      </c>
      <c r="F10" s="22">
        <f t="shared" si="0"/>
        <v>1.3900000000000001</v>
      </c>
      <c r="G10" s="30">
        <v>143.935</v>
      </c>
      <c r="H10" s="30">
        <f>0.009*2208</f>
        <v>19.872</v>
      </c>
      <c r="I10" s="29">
        <f t="shared" si="1"/>
        <v>163.80700000000002</v>
      </c>
      <c r="J10" s="3"/>
    </row>
    <row r="11" spans="1:23" ht="31.5">
      <c r="A11" s="4" t="s">
        <v>25</v>
      </c>
      <c r="B11" s="8" t="s">
        <v>16</v>
      </c>
      <c r="C11" s="8" t="s">
        <v>18</v>
      </c>
      <c r="D11" s="10">
        <v>3.54</v>
      </c>
      <c r="E11" s="10">
        <v>5</v>
      </c>
      <c r="F11" s="23">
        <f t="shared" si="0"/>
        <v>1.46</v>
      </c>
      <c r="G11" s="29">
        <v>982.68</v>
      </c>
      <c r="H11" s="29">
        <f>0.1511*2208</f>
        <v>333.6288</v>
      </c>
      <c r="I11" s="29">
        <f t="shared" si="1"/>
        <v>1316.3088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0" ht="15.75">
      <c r="A12" s="4" t="s">
        <v>26</v>
      </c>
      <c r="B12" s="5" t="s">
        <v>138</v>
      </c>
      <c r="C12" s="5" t="s">
        <v>137</v>
      </c>
      <c r="D12" s="5">
        <v>0.17</v>
      </c>
      <c r="E12" s="5">
        <v>1</v>
      </c>
      <c r="F12" s="23">
        <f t="shared" si="0"/>
        <v>0.83</v>
      </c>
      <c r="G12" s="30">
        <v>0.557</v>
      </c>
      <c r="H12" s="30">
        <f>0.05*2208</f>
        <v>110.4</v>
      </c>
      <c r="I12" s="29">
        <f t="shared" si="1"/>
        <v>110.95700000000001</v>
      </c>
      <c r="J12" s="3"/>
    </row>
    <row r="13" spans="1:23" ht="15.75">
      <c r="A13" s="4" t="s">
        <v>27</v>
      </c>
      <c r="B13" s="8" t="s">
        <v>105</v>
      </c>
      <c r="C13" s="8" t="s">
        <v>104</v>
      </c>
      <c r="D13" s="10">
        <v>1.44</v>
      </c>
      <c r="E13" s="10">
        <v>5</v>
      </c>
      <c r="F13" s="23">
        <f t="shared" si="0"/>
        <v>3.56</v>
      </c>
      <c r="G13" s="29">
        <v>345.678</v>
      </c>
      <c r="H13" s="29">
        <f>0.05*2208</f>
        <v>110.4</v>
      </c>
      <c r="I13" s="29">
        <f t="shared" si="1"/>
        <v>456.078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>
      <c r="A14" s="4" t="s">
        <v>28</v>
      </c>
      <c r="B14" s="8" t="s">
        <v>52</v>
      </c>
      <c r="C14" s="8" t="s">
        <v>145</v>
      </c>
      <c r="D14" s="10">
        <v>0.64</v>
      </c>
      <c r="E14" s="10">
        <v>2</v>
      </c>
      <c r="F14" s="23">
        <f t="shared" si="0"/>
        <v>1.3599999999999999</v>
      </c>
      <c r="G14" s="29">
        <v>165.943</v>
      </c>
      <c r="H14" s="29">
        <f>0.057*2208</f>
        <v>125.85600000000001</v>
      </c>
      <c r="I14" s="29">
        <f t="shared" si="1"/>
        <v>291.79900000000004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1.5">
      <c r="A15" s="4" t="s">
        <v>29</v>
      </c>
      <c r="B15" s="8" t="s">
        <v>146</v>
      </c>
      <c r="C15" s="8" t="s">
        <v>147</v>
      </c>
      <c r="D15" s="10">
        <v>1.24</v>
      </c>
      <c r="E15" s="10">
        <v>2.5</v>
      </c>
      <c r="F15" s="23">
        <f t="shared" si="0"/>
        <v>1.26</v>
      </c>
      <c r="G15" s="29">
        <v>378.831</v>
      </c>
      <c r="H15" s="29">
        <f>0.046*2208</f>
        <v>101.568</v>
      </c>
      <c r="I15" s="29">
        <f t="shared" si="1"/>
        <v>480.399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30</v>
      </c>
      <c r="B16" s="8" t="s">
        <v>148</v>
      </c>
      <c r="C16" s="8" t="s">
        <v>149</v>
      </c>
      <c r="D16" s="10">
        <v>0.06</v>
      </c>
      <c r="E16" s="10">
        <v>1</v>
      </c>
      <c r="F16" s="23">
        <f t="shared" si="0"/>
        <v>0.94</v>
      </c>
      <c r="G16" s="29">
        <v>11.136</v>
      </c>
      <c r="H16" s="29">
        <v>0</v>
      </c>
      <c r="I16" s="29">
        <f t="shared" si="1"/>
        <v>11.136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31</v>
      </c>
      <c r="B17" s="9" t="s">
        <v>175</v>
      </c>
      <c r="C17" s="9" t="s">
        <v>176</v>
      </c>
      <c r="D17" s="23">
        <v>0.7</v>
      </c>
      <c r="E17" s="10">
        <v>1</v>
      </c>
      <c r="F17" s="23">
        <f t="shared" si="0"/>
        <v>0.30000000000000004</v>
      </c>
      <c r="G17" s="29">
        <v>21.103</v>
      </c>
      <c r="H17" s="29">
        <v>0</v>
      </c>
      <c r="I17" s="29">
        <f t="shared" si="1"/>
        <v>21.103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4" t="s">
        <v>32</v>
      </c>
      <c r="B18" s="8" t="s">
        <v>98</v>
      </c>
      <c r="C18" s="8" t="s">
        <v>97</v>
      </c>
      <c r="D18" s="10">
        <v>3.9</v>
      </c>
      <c r="E18" s="10">
        <v>20</v>
      </c>
      <c r="F18" s="23">
        <f t="shared" si="0"/>
        <v>16.1</v>
      </c>
      <c r="G18" s="29">
        <v>738.634</v>
      </c>
      <c r="H18" s="29">
        <f>0.233*2208</f>
        <v>514.464</v>
      </c>
      <c r="I18" s="29">
        <f t="shared" si="1"/>
        <v>1253.098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1.5">
      <c r="A19" s="4" t="s">
        <v>33</v>
      </c>
      <c r="B19" s="10" t="s">
        <v>182</v>
      </c>
      <c r="C19" s="10" t="s">
        <v>184</v>
      </c>
      <c r="D19" s="10">
        <v>0</v>
      </c>
      <c r="E19" s="10">
        <v>5</v>
      </c>
      <c r="F19" s="23">
        <f t="shared" si="0"/>
        <v>5</v>
      </c>
      <c r="G19" s="29" t="s">
        <v>188</v>
      </c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4" t="s">
        <v>34</v>
      </c>
      <c r="B20" s="10" t="s">
        <v>183</v>
      </c>
      <c r="C20" s="10" t="s">
        <v>185</v>
      </c>
      <c r="D20" s="10">
        <v>0.07</v>
      </c>
      <c r="E20" s="10">
        <v>1</v>
      </c>
      <c r="F20" s="22">
        <f t="shared" si="0"/>
        <v>0.9299999999999999</v>
      </c>
      <c r="G20" s="29" t="s">
        <v>188</v>
      </c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78.75">
      <c r="A21" s="4" t="s">
        <v>35</v>
      </c>
      <c r="B21" s="8" t="s">
        <v>161</v>
      </c>
      <c r="C21" s="8" t="s">
        <v>20</v>
      </c>
      <c r="D21" s="22">
        <v>22.846666666666668</v>
      </c>
      <c r="E21" s="24">
        <v>43</v>
      </c>
      <c r="F21" s="22">
        <f>E21-D21</f>
        <v>20.153333333333332</v>
      </c>
      <c r="G21" s="29">
        <v>22798.098</v>
      </c>
      <c r="H21" s="29">
        <v>72.00000000000001</v>
      </c>
      <c r="I21" s="29">
        <f t="shared" si="1"/>
        <v>22870.098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7.25">
      <c r="A22" s="4" t="s">
        <v>36</v>
      </c>
      <c r="B22" s="8" t="s">
        <v>107</v>
      </c>
      <c r="C22" s="8" t="s">
        <v>106</v>
      </c>
      <c r="D22" s="22">
        <v>2.607083333333333</v>
      </c>
      <c r="E22" s="24">
        <v>20</v>
      </c>
      <c r="F22" s="22">
        <f>E22-D22</f>
        <v>17.392916666666668</v>
      </c>
      <c r="G22" s="29">
        <v>694.854</v>
      </c>
      <c r="H22" s="29">
        <v>28.8</v>
      </c>
      <c r="I22" s="29">
        <f t="shared" si="1"/>
        <v>723.654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0" ht="15.75">
      <c r="A23" s="4" t="s">
        <v>37</v>
      </c>
      <c r="B23" s="5" t="s">
        <v>140</v>
      </c>
      <c r="C23" s="5" t="s">
        <v>139</v>
      </c>
      <c r="D23" s="26">
        <v>0.5629166666666666</v>
      </c>
      <c r="E23" s="5">
        <v>2</v>
      </c>
      <c r="F23" s="22">
        <f aca="true" t="shared" si="2" ref="F23:F60">E23-D23</f>
        <v>1.4370833333333333</v>
      </c>
      <c r="G23" s="30">
        <v>212.949</v>
      </c>
      <c r="H23" s="30">
        <v>14.4</v>
      </c>
      <c r="I23" s="29">
        <f t="shared" si="1"/>
        <v>227.34900000000002</v>
      </c>
      <c r="J23" s="3"/>
    </row>
    <row r="24" spans="1:23" ht="31.5">
      <c r="A24" s="4" t="s">
        <v>38</v>
      </c>
      <c r="B24" s="8" t="s">
        <v>94</v>
      </c>
      <c r="C24" s="5" t="s">
        <v>93</v>
      </c>
      <c r="D24" s="22">
        <v>0.8370833333333333</v>
      </c>
      <c r="E24" s="10">
        <v>2</v>
      </c>
      <c r="F24" s="22">
        <f t="shared" si="2"/>
        <v>1.1629166666666668</v>
      </c>
      <c r="G24" s="29">
        <v>265.946</v>
      </c>
      <c r="H24" s="29">
        <v>7.2</v>
      </c>
      <c r="I24" s="29">
        <f t="shared" si="1"/>
        <v>273.146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94.5">
      <c r="A25" s="4" t="s">
        <v>39</v>
      </c>
      <c r="B25" s="8" t="s">
        <v>14</v>
      </c>
      <c r="C25" s="8" t="s">
        <v>12</v>
      </c>
      <c r="D25" s="10">
        <v>11.26</v>
      </c>
      <c r="E25" s="10">
        <v>20</v>
      </c>
      <c r="F25" s="10">
        <f t="shared" si="2"/>
        <v>8.74</v>
      </c>
      <c r="G25" s="29">
        <v>3027.228</v>
      </c>
      <c r="H25" s="29">
        <f>1.032*2208</f>
        <v>2278.656</v>
      </c>
      <c r="I25" s="29">
        <f t="shared" si="1"/>
        <v>5305.884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1.5">
      <c r="A26" s="4" t="s">
        <v>40</v>
      </c>
      <c r="B26" s="8" t="s">
        <v>108</v>
      </c>
      <c r="C26" s="8" t="s">
        <v>109</v>
      </c>
      <c r="D26" s="23">
        <v>0.8</v>
      </c>
      <c r="E26" s="10">
        <v>2</v>
      </c>
      <c r="F26" s="10">
        <f t="shared" si="2"/>
        <v>1.2</v>
      </c>
      <c r="G26" s="29">
        <v>166.407</v>
      </c>
      <c r="H26" s="29">
        <f>0.04*2208</f>
        <v>88.32000000000001</v>
      </c>
      <c r="I26" s="29">
        <f t="shared" si="1"/>
        <v>254.72700000000003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0" ht="15.75">
      <c r="A27" s="4" t="s">
        <v>41</v>
      </c>
      <c r="B27" s="5" t="s">
        <v>142</v>
      </c>
      <c r="C27" s="5" t="s">
        <v>141</v>
      </c>
      <c r="D27" s="5">
        <v>0.21</v>
      </c>
      <c r="E27" s="5">
        <v>1</v>
      </c>
      <c r="F27" s="10">
        <f t="shared" si="2"/>
        <v>0.79</v>
      </c>
      <c r="G27" s="30">
        <v>59.319</v>
      </c>
      <c r="H27" s="30">
        <f>0.001*2208</f>
        <v>2.208</v>
      </c>
      <c r="I27" s="29">
        <f t="shared" si="1"/>
        <v>61.527</v>
      </c>
      <c r="J27" s="3"/>
    </row>
    <row r="28" spans="1:10" ht="15.75">
      <c r="A28" s="4" t="s">
        <v>42</v>
      </c>
      <c r="B28" s="5" t="s">
        <v>113</v>
      </c>
      <c r="C28" s="5" t="s">
        <v>112</v>
      </c>
      <c r="D28" s="5">
        <v>0.13</v>
      </c>
      <c r="E28" s="5">
        <v>2</v>
      </c>
      <c r="F28" s="10">
        <f t="shared" si="2"/>
        <v>1.87</v>
      </c>
      <c r="G28" s="30">
        <v>22.819</v>
      </c>
      <c r="H28" s="30">
        <f>0.002*2208</f>
        <v>4.416</v>
      </c>
      <c r="I28" s="29">
        <f t="shared" si="1"/>
        <v>27.235</v>
      </c>
      <c r="J28" s="3"/>
    </row>
    <row r="29" spans="1:10" ht="15.75">
      <c r="A29" s="4" t="s">
        <v>43</v>
      </c>
      <c r="B29" s="5" t="s">
        <v>114</v>
      </c>
      <c r="C29" s="5" t="s">
        <v>115</v>
      </c>
      <c r="D29" s="5">
        <v>0.75</v>
      </c>
      <c r="E29" s="5">
        <v>2</v>
      </c>
      <c r="F29" s="10">
        <f t="shared" si="2"/>
        <v>1.25</v>
      </c>
      <c r="G29" s="30">
        <v>167.167</v>
      </c>
      <c r="H29" s="30">
        <f>0.056*2208</f>
        <v>123.648</v>
      </c>
      <c r="I29" s="29">
        <f t="shared" si="1"/>
        <v>290.815</v>
      </c>
      <c r="J29" s="3"/>
    </row>
    <row r="30" spans="1:23" ht="15.75">
      <c r="A30" s="4" t="s">
        <v>44</v>
      </c>
      <c r="B30" s="8" t="s">
        <v>154</v>
      </c>
      <c r="C30" s="8" t="s">
        <v>155</v>
      </c>
      <c r="D30" s="10">
        <v>0.26</v>
      </c>
      <c r="E30" s="10">
        <v>2</v>
      </c>
      <c r="F30" s="10">
        <f t="shared" si="2"/>
        <v>1.74</v>
      </c>
      <c r="G30" s="29">
        <v>153.485</v>
      </c>
      <c r="H30" s="29">
        <f>0.005*2208</f>
        <v>11.040000000000001</v>
      </c>
      <c r="I30" s="29">
        <f t="shared" si="1"/>
        <v>164.525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45</v>
      </c>
      <c r="B31" s="8" t="s">
        <v>156</v>
      </c>
      <c r="C31" s="8" t="s">
        <v>157</v>
      </c>
      <c r="D31" s="10">
        <v>0.17</v>
      </c>
      <c r="E31" s="10">
        <v>10</v>
      </c>
      <c r="F31" s="10">
        <f t="shared" si="2"/>
        <v>9.83</v>
      </c>
      <c r="G31" s="29">
        <v>33.912</v>
      </c>
      <c r="H31" s="29">
        <f>0.012*2208</f>
        <v>26.496000000000002</v>
      </c>
      <c r="I31" s="29">
        <f t="shared" si="1"/>
        <v>60.408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69</v>
      </c>
      <c r="B32" s="9" t="s">
        <v>172</v>
      </c>
      <c r="C32" s="9" t="s">
        <v>173</v>
      </c>
      <c r="D32" s="23">
        <v>0.1</v>
      </c>
      <c r="E32" s="10">
        <v>1</v>
      </c>
      <c r="F32" s="10">
        <f t="shared" si="2"/>
        <v>0.9</v>
      </c>
      <c r="G32" s="29">
        <v>19.864</v>
      </c>
      <c r="H32" s="29">
        <v>0</v>
      </c>
      <c r="I32" s="29">
        <f t="shared" si="1"/>
        <v>19.864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4" t="s">
        <v>70</v>
      </c>
      <c r="B33" s="8" t="s">
        <v>47</v>
      </c>
      <c r="C33" s="8" t="s">
        <v>46</v>
      </c>
      <c r="D33" s="10">
        <v>0.37</v>
      </c>
      <c r="E33" s="10">
        <v>2</v>
      </c>
      <c r="F33" s="10">
        <f t="shared" si="2"/>
        <v>1.63</v>
      </c>
      <c r="G33" s="29">
        <v>243.52</v>
      </c>
      <c r="H33" s="29">
        <v>0</v>
      </c>
      <c r="I33" s="29">
        <f t="shared" si="1"/>
        <v>243.52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71</v>
      </c>
      <c r="B34" s="8" t="s">
        <v>111</v>
      </c>
      <c r="C34" s="8" t="s">
        <v>110</v>
      </c>
      <c r="D34" s="10">
        <v>0.28</v>
      </c>
      <c r="E34" s="10">
        <v>1</v>
      </c>
      <c r="F34" s="10">
        <f t="shared" si="2"/>
        <v>0.72</v>
      </c>
      <c r="G34" s="29">
        <v>83.116</v>
      </c>
      <c r="H34" s="29">
        <v>0</v>
      </c>
      <c r="I34" s="29">
        <f t="shared" si="1"/>
        <v>83.116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>
      <c r="A35" s="4" t="s">
        <v>72</v>
      </c>
      <c r="B35" s="8" t="s">
        <v>68</v>
      </c>
      <c r="C35" s="8" t="s">
        <v>67</v>
      </c>
      <c r="D35" s="10">
        <v>2.07</v>
      </c>
      <c r="E35" s="10">
        <v>5</v>
      </c>
      <c r="F35" s="10">
        <f t="shared" si="2"/>
        <v>2.93</v>
      </c>
      <c r="G35" s="29">
        <v>998.438</v>
      </c>
      <c r="H35" s="29">
        <f>0.05*2208</f>
        <v>110.4</v>
      </c>
      <c r="I35" s="29">
        <f t="shared" si="1"/>
        <v>1108.838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4" t="s">
        <v>73</v>
      </c>
      <c r="B36" s="8" t="s">
        <v>164</v>
      </c>
      <c r="C36" s="8" t="s">
        <v>150</v>
      </c>
      <c r="D36" s="10">
        <v>0.66</v>
      </c>
      <c r="E36" s="10">
        <v>10</v>
      </c>
      <c r="F36" s="10">
        <f t="shared" si="2"/>
        <v>9.34</v>
      </c>
      <c r="G36" s="29">
        <v>169.573</v>
      </c>
      <c r="H36" s="29">
        <f>0.06*2208</f>
        <v>132.48</v>
      </c>
      <c r="I36" s="29">
        <f t="shared" si="1"/>
        <v>302.053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4" t="s">
        <v>74</v>
      </c>
      <c r="B37" s="8" t="s">
        <v>143</v>
      </c>
      <c r="C37" s="8" t="s">
        <v>144</v>
      </c>
      <c r="D37" s="10">
        <v>0.25</v>
      </c>
      <c r="E37" s="10">
        <v>1</v>
      </c>
      <c r="F37" s="10">
        <f t="shared" si="2"/>
        <v>0.75</v>
      </c>
      <c r="G37" s="29">
        <v>71.151</v>
      </c>
      <c r="H37" s="29">
        <v>0</v>
      </c>
      <c r="I37" s="29">
        <f t="shared" si="1"/>
        <v>71.151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75</v>
      </c>
      <c r="B38" s="8" t="s">
        <v>158</v>
      </c>
      <c r="C38" s="8" t="s">
        <v>159</v>
      </c>
      <c r="D38" s="10">
        <v>0.37</v>
      </c>
      <c r="E38" s="10">
        <v>1</v>
      </c>
      <c r="F38" s="10">
        <f t="shared" si="2"/>
        <v>0.63</v>
      </c>
      <c r="G38" s="29">
        <v>111.28</v>
      </c>
      <c r="H38" s="29">
        <f>0.01*2208</f>
        <v>22.080000000000002</v>
      </c>
      <c r="I38" s="29">
        <f t="shared" si="1"/>
        <v>133.36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10" ht="15.75">
      <c r="A39" s="4" t="s">
        <v>76</v>
      </c>
      <c r="B39" s="5" t="s">
        <v>132</v>
      </c>
      <c r="C39" s="5" t="s">
        <v>131</v>
      </c>
      <c r="D39" s="5">
        <v>0.2</v>
      </c>
      <c r="E39" s="5">
        <v>1</v>
      </c>
      <c r="F39" s="10">
        <f t="shared" si="2"/>
        <v>0.8</v>
      </c>
      <c r="G39" s="30">
        <v>38.399</v>
      </c>
      <c r="H39" s="30">
        <f>0.015*2208</f>
        <v>33.12</v>
      </c>
      <c r="I39" s="29">
        <f t="shared" si="1"/>
        <v>71.519</v>
      </c>
      <c r="J39" s="3"/>
    </row>
    <row r="40" spans="1:10" ht="15.75">
      <c r="A40" s="4" t="s">
        <v>77</v>
      </c>
      <c r="B40" s="5" t="s">
        <v>134</v>
      </c>
      <c r="C40" s="5" t="s">
        <v>133</v>
      </c>
      <c r="D40" s="5">
        <v>0.38</v>
      </c>
      <c r="E40" s="5">
        <v>1</v>
      </c>
      <c r="F40" s="10">
        <f t="shared" si="2"/>
        <v>0.62</v>
      </c>
      <c r="G40" s="30">
        <v>111.307</v>
      </c>
      <c r="H40" s="30">
        <f>0.03*2208</f>
        <v>66.24</v>
      </c>
      <c r="I40" s="29">
        <f t="shared" si="1"/>
        <v>177.547</v>
      </c>
      <c r="J40" s="3"/>
    </row>
    <row r="41" spans="1:23" ht="15.75">
      <c r="A41" s="4" t="s">
        <v>78</v>
      </c>
      <c r="B41" s="8" t="s">
        <v>54</v>
      </c>
      <c r="C41" s="8" t="s">
        <v>53</v>
      </c>
      <c r="D41" s="10">
        <v>0.344</v>
      </c>
      <c r="E41" s="10">
        <v>2</v>
      </c>
      <c r="F41" s="10">
        <f t="shared" si="2"/>
        <v>1.6560000000000001</v>
      </c>
      <c r="G41" s="28">
        <v>246.666</v>
      </c>
      <c r="H41" s="28">
        <f>0.03*2208</f>
        <v>66.24</v>
      </c>
      <c r="I41" s="29">
        <f t="shared" si="1"/>
        <v>312.906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4" t="s">
        <v>79</v>
      </c>
      <c r="B42" s="8" t="s">
        <v>49</v>
      </c>
      <c r="C42" s="8" t="s">
        <v>48</v>
      </c>
      <c r="D42" s="10">
        <v>0.062</v>
      </c>
      <c r="E42" s="10">
        <v>1</v>
      </c>
      <c r="F42" s="10">
        <f t="shared" si="2"/>
        <v>0.938</v>
      </c>
      <c r="G42" s="28">
        <v>38.534</v>
      </c>
      <c r="H42" s="28">
        <f>0.01*2208</f>
        <v>22.080000000000002</v>
      </c>
      <c r="I42" s="29">
        <f t="shared" si="1"/>
        <v>60.614000000000004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80</v>
      </c>
      <c r="B43" s="8" t="s">
        <v>51</v>
      </c>
      <c r="C43" s="8" t="s">
        <v>50</v>
      </c>
      <c r="D43" s="10">
        <v>0.24</v>
      </c>
      <c r="E43" s="10">
        <v>2</v>
      </c>
      <c r="F43" s="10">
        <f t="shared" si="2"/>
        <v>1.76</v>
      </c>
      <c r="G43" s="28">
        <v>83.363</v>
      </c>
      <c r="H43" s="28">
        <f>0.03*2208</f>
        <v>66.24</v>
      </c>
      <c r="I43" s="29">
        <f t="shared" si="1"/>
        <v>149.603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81</v>
      </c>
      <c r="B44" s="8" t="s">
        <v>66</v>
      </c>
      <c r="C44" s="8" t="s">
        <v>65</v>
      </c>
      <c r="D44" s="10">
        <v>2.22</v>
      </c>
      <c r="E44" s="10">
        <v>10</v>
      </c>
      <c r="F44" s="10">
        <f t="shared" si="2"/>
        <v>7.779999999999999</v>
      </c>
      <c r="G44" s="29">
        <v>1863.067</v>
      </c>
      <c r="H44" s="29">
        <f>0.19588*2208</f>
        <v>432.50304</v>
      </c>
      <c r="I44" s="29">
        <f t="shared" si="1"/>
        <v>2295.57004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1.5">
      <c r="A45" s="4" t="s">
        <v>82</v>
      </c>
      <c r="B45" s="8" t="s">
        <v>57</v>
      </c>
      <c r="C45" s="8" t="s">
        <v>58</v>
      </c>
      <c r="D45" s="10">
        <v>0.137</v>
      </c>
      <c r="E45" s="10">
        <v>2</v>
      </c>
      <c r="F45" s="10">
        <f t="shared" si="2"/>
        <v>1.863</v>
      </c>
      <c r="G45" s="29">
        <v>64.551</v>
      </c>
      <c r="H45" s="29">
        <f>0.00363*2208</f>
        <v>8.01504</v>
      </c>
      <c r="I45" s="29">
        <f t="shared" si="1"/>
        <v>72.56604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4" t="s">
        <v>99</v>
      </c>
      <c r="B46" s="8" t="s">
        <v>60</v>
      </c>
      <c r="C46" s="8" t="s">
        <v>59</v>
      </c>
      <c r="D46" s="10">
        <v>0.166</v>
      </c>
      <c r="E46" s="10">
        <v>2</v>
      </c>
      <c r="F46" s="10">
        <f t="shared" si="2"/>
        <v>1.834</v>
      </c>
      <c r="G46" s="29">
        <v>121.026</v>
      </c>
      <c r="H46" s="29">
        <f>0.011*2208</f>
        <v>24.288</v>
      </c>
      <c r="I46" s="29">
        <f t="shared" si="1"/>
        <v>145.314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4" t="s">
        <v>122</v>
      </c>
      <c r="B47" s="8" t="s">
        <v>62</v>
      </c>
      <c r="C47" s="8" t="s">
        <v>61</v>
      </c>
      <c r="D47" s="10">
        <v>0.26</v>
      </c>
      <c r="E47" s="10">
        <v>5.8</v>
      </c>
      <c r="F47" s="10">
        <f t="shared" si="2"/>
        <v>5.54</v>
      </c>
      <c r="G47" s="29">
        <v>171.582</v>
      </c>
      <c r="H47" s="29">
        <f>0.0202*2208</f>
        <v>44.6016</v>
      </c>
      <c r="I47" s="29">
        <f t="shared" si="1"/>
        <v>216.18359999999998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4" t="s">
        <v>123</v>
      </c>
      <c r="B48" s="8" t="s">
        <v>64</v>
      </c>
      <c r="C48" s="8" t="s">
        <v>63</v>
      </c>
      <c r="D48" s="10">
        <v>0.18</v>
      </c>
      <c r="E48" s="10">
        <v>3</v>
      </c>
      <c r="F48" s="10">
        <f t="shared" si="2"/>
        <v>2.82</v>
      </c>
      <c r="G48" s="29">
        <v>133.039</v>
      </c>
      <c r="H48" s="29">
        <f>0.01184*2208</f>
        <v>26.14272</v>
      </c>
      <c r="I48" s="29">
        <f t="shared" si="1"/>
        <v>159.18171999999998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124</v>
      </c>
      <c r="B49" s="8" t="s">
        <v>84</v>
      </c>
      <c r="C49" s="8" t="s">
        <v>83</v>
      </c>
      <c r="D49" s="10">
        <v>0.086</v>
      </c>
      <c r="E49" s="10">
        <v>3</v>
      </c>
      <c r="F49" s="10">
        <f t="shared" si="2"/>
        <v>2.914</v>
      </c>
      <c r="G49" s="29">
        <v>87.107</v>
      </c>
      <c r="H49" s="29">
        <f>0.006*2208</f>
        <v>13.248000000000001</v>
      </c>
      <c r="I49" s="29">
        <f t="shared" si="1"/>
        <v>100.355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4" t="s">
        <v>125</v>
      </c>
      <c r="B50" s="8" t="s">
        <v>86</v>
      </c>
      <c r="C50" s="8" t="s">
        <v>85</v>
      </c>
      <c r="D50" s="10">
        <v>0.109</v>
      </c>
      <c r="E50" s="10">
        <v>2</v>
      </c>
      <c r="F50" s="10">
        <f t="shared" si="2"/>
        <v>1.891</v>
      </c>
      <c r="G50" s="29">
        <v>68.397</v>
      </c>
      <c r="H50" s="29">
        <v>0</v>
      </c>
      <c r="I50" s="29">
        <f t="shared" si="1"/>
        <v>68.397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1.5">
      <c r="A51" s="4" t="s">
        <v>126</v>
      </c>
      <c r="B51" s="8" t="s">
        <v>96</v>
      </c>
      <c r="C51" s="8" t="s">
        <v>95</v>
      </c>
      <c r="D51" s="11" t="s">
        <v>189</v>
      </c>
      <c r="E51" s="12"/>
      <c r="F51" s="10"/>
      <c r="G51" s="29">
        <v>570.819</v>
      </c>
      <c r="H51" s="29">
        <f>0.0091*2208</f>
        <v>20.0928</v>
      </c>
      <c r="I51" s="29">
        <f t="shared" si="1"/>
        <v>590.9118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1.5">
      <c r="A52" s="4" t="s">
        <v>127</v>
      </c>
      <c r="B52" s="8" t="s">
        <v>160</v>
      </c>
      <c r="C52" s="8" t="s">
        <v>102</v>
      </c>
      <c r="D52" s="10">
        <v>0.121</v>
      </c>
      <c r="E52" s="10">
        <v>3</v>
      </c>
      <c r="F52" s="10">
        <f t="shared" si="2"/>
        <v>2.879</v>
      </c>
      <c r="G52" s="29">
        <v>75.823</v>
      </c>
      <c r="H52" s="29">
        <f>0.0046*2208</f>
        <v>10.1568</v>
      </c>
      <c r="I52" s="29">
        <f t="shared" si="1"/>
        <v>85.9798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128</v>
      </c>
      <c r="B53" s="8" t="s">
        <v>92</v>
      </c>
      <c r="C53" s="8" t="s">
        <v>91</v>
      </c>
      <c r="D53" s="10">
        <v>0.235</v>
      </c>
      <c r="E53" s="10">
        <v>3</v>
      </c>
      <c r="F53" s="10">
        <f t="shared" si="2"/>
        <v>2.765</v>
      </c>
      <c r="G53" s="29">
        <v>177.899</v>
      </c>
      <c r="H53" s="29">
        <f>0.0126*2208</f>
        <v>27.8208</v>
      </c>
      <c r="I53" s="29">
        <f t="shared" si="1"/>
        <v>205.7198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10" ht="15.75">
      <c r="A54" s="4" t="s">
        <v>129</v>
      </c>
      <c r="B54" s="5" t="s">
        <v>117</v>
      </c>
      <c r="C54" s="5" t="s">
        <v>116</v>
      </c>
      <c r="D54" s="5">
        <v>0.107</v>
      </c>
      <c r="E54" s="5">
        <v>2</v>
      </c>
      <c r="F54" s="10">
        <f t="shared" si="2"/>
        <v>1.893</v>
      </c>
      <c r="G54" s="30">
        <v>98.944</v>
      </c>
      <c r="H54" s="30">
        <f>0.01736*2208</f>
        <v>38.33088</v>
      </c>
      <c r="I54" s="29">
        <f t="shared" si="1"/>
        <v>137.27488</v>
      </c>
      <c r="J54" s="3"/>
    </row>
    <row r="55" spans="1:10" ht="15.75">
      <c r="A55" s="4" t="s">
        <v>130</v>
      </c>
      <c r="B55" s="5" t="s">
        <v>121</v>
      </c>
      <c r="C55" s="5" t="s">
        <v>120</v>
      </c>
      <c r="D55" s="5">
        <v>0.124</v>
      </c>
      <c r="E55" s="5">
        <v>3</v>
      </c>
      <c r="F55" s="10">
        <f t="shared" si="2"/>
        <v>2.876</v>
      </c>
      <c r="G55" s="30">
        <v>74.621</v>
      </c>
      <c r="H55" s="30">
        <f>0.005*2208</f>
        <v>11.040000000000001</v>
      </c>
      <c r="I55" s="29">
        <f t="shared" si="1"/>
        <v>85.661</v>
      </c>
      <c r="J55" s="3"/>
    </row>
    <row r="56" spans="1:23" ht="47.25">
      <c r="A56" s="4" t="s">
        <v>169</v>
      </c>
      <c r="B56" s="8" t="s">
        <v>90</v>
      </c>
      <c r="C56" s="8" t="s">
        <v>89</v>
      </c>
      <c r="D56" s="10">
        <v>1.57</v>
      </c>
      <c r="E56" s="10">
        <v>10</v>
      </c>
      <c r="F56" s="10">
        <f t="shared" si="2"/>
        <v>8.43</v>
      </c>
      <c r="G56" s="29">
        <v>1449.759</v>
      </c>
      <c r="H56" s="29">
        <f>0.442*2208</f>
        <v>975.936</v>
      </c>
      <c r="I56" s="29">
        <f t="shared" si="1"/>
        <v>2425.695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A57" s="4" t="s">
        <v>174</v>
      </c>
      <c r="B57" s="8" t="s">
        <v>88</v>
      </c>
      <c r="C57" s="8" t="s">
        <v>87</v>
      </c>
      <c r="D57" s="10">
        <v>0.19</v>
      </c>
      <c r="E57" s="10">
        <v>2</v>
      </c>
      <c r="F57" s="10">
        <f t="shared" si="2"/>
        <v>1.81</v>
      </c>
      <c r="G57" s="29">
        <v>186.524</v>
      </c>
      <c r="H57" s="29">
        <f>0.015*2208</f>
        <v>33.12</v>
      </c>
      <c r="I57" s="29">
        <f t="shared" si="1"/>
        <v>219.644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A58" s="4" t="s">
        <v>177</v>
      </c>
      <c r="B58" s="8" t="s">
        <v>56</v>
      </c>
      <c r="C58" s="8" t="s">
        <v>55</v>
      </c>
      <c r="D58" s="10">
        <v>0.19</v>
      </c>
      <c r="E58" s="10">
        <v>2</v>
      </c>
      <c r="F58" s="10">
        <f t="shared" si="2"/>
        <v>1.81</v>
      </c>
      <c r="G58" s="29">
        <v>185.288</v>
      </c>
      <c r="H58" s="29">
        <f>0.01*2208</f>
        <v>22.080000000000002</v>
      </c>
      <c r="I58" s="29">
        <f t="shared" si="1"/>
        <v>207.36800000000002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10" ht="15.75">
      <c r="A59" s="4" t="s">
        <v>186</v>
      </c>
      <c r="B59" s="5" t="s">
        <v>119</v>
      </c>
      <c r="C59" s="5" t="s">
        <v>118</v>
      </c>
      <c r="D59" s="5">
        <v>0.086</v>
      </c>
      <c r="E59" s="5">
        <v>2</v>
      </c>
      <c r="F59" s="10">
        <f t="shared" si="2"/>
        <v>1.914</v>
      </c>
      <c r="G59" s="29">
        <v>79.589</v>
      </c>
      <c r="H59" s="29">
        <f>0.005*2208</f>
        <v>11.040000000000001</v>
      </c>
      <c r="I59" s="29">
        <f t="shared" si="1"/>
        <v>90.629</v>
      </c>
      <c r="J59" s="3"/>
    </row>
    <row r="60" spans="1:10" ht="15.75">
      <c r="A60" s="4" t="s">
        <v>187</v>
      </c>
      <c r="B60" s="5" t="s">
        <v>170</v>
      </c>
      <c r="C60" s="5" t="s">
        <v>171</v>
      </c>
      <c r="D60" s="5">
        <v>12.59</v>
      </c>
      <c r="E60" s="5">
        <v>50</v>
      </c>
      <c r="F60" s="10">
        <f t="shared" si="2"/>
        <v>37.41</v>
      </c>
      <c r="G60" s="29">
        <v>4.034</v>
      </c>
      <c r="H60" s="30">
        <v>2.692</v>
      </c>
      <c r="I60" s="29">
        <f t="shared" si="1"/>
        <v>6.726</v>
      </c>
      <c r="J60" s="3"/>
    </row>
    <row r="61" spans="1:10" ht="15.75">
      <c r="A61" s="13" t="s">
        <v>151</v>
      </c>
      <c r="B61" s="14"/>
      <c r="C61" s="15"/>
      <c r="D61" s="6"/>
      <c r="E61" s="6"/>
      <c r="F61" s="6"/>
      <c r="G61" s="31">
        <f>SUM(G5:G60)</f>
        <v>207666.27900000004</v>
      </c>
      <c r="H61" s="31">
        <f>SUM(H5:H60)</f>
        <v>26571.453280000016</v>
      </c>
      <c r="I61" s="31">
        <f>SUM(I5:I60)</f>
        <v>234237.73227999997</v>
      </c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.7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.7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.7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.7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.75">
      <c r="B326" s="3"/>
      <c r="C326" s="3"/>
      <c r="D326" s="3"/>
      <c r="E326" s="3"/>
      <c r="F326" s="3"/>
      <c r="G326" s="3"/>
      <c r="H326" s="3"/>
      <c r="I326" s="3"/>
      <c r="J326" s="3"/>
    </row>
  </sheetData>
  <sheetProtection/>
  <mergeCells count="8">
    <mergeCell ref="D51:E51"/>
    <mergeCell ref="A61:C61"/>
    <mergeCell ref="A2:I2"/>
    <mergeCell ref="A3:A4"/>
    <mergeCell ref="B3:B4"/>
    <mergeCell ref="C3:C4"/>
    <mergeCell ref="D3:F3"/>
    <mergeCell ref="G3:I3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2018-10-30T07:14:40Z</dcterms:modified>
  <cp:category/>
  <cp:version/>
  <cp:contentType/>
  <cp:contentStatus/>
</cp:coreProperties>
</file>